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showInkAnnotation="0" defaultThemeVersion="124226"/>
  <xr:revisionPtr revIDLastSave="0" documentId="14_{8FE717FD-1276-49CB-BA1E-549FCF970AF0}" xr6:coauthVersionLast="41" xr6:coauthVersionMax="41" xr10:uidLastSave="{00000000-0000-0000-0000-000000000000}"/>
  <bookViews>
    <workbookView xWindow="-110" yWindow="-110" windowWidth="19420" windowHeight="10420" tabRatio="857" firstSheet="1" activeTab="1" xr2:uid="{00000000-000D-0000-FFFF-FFFF00000000}"/>
  </bookViews>
  <sheets>
    <sheet name="New Support Calculator" sheetId="30" state="hidden" r:id="rId1"/>
    <sheet name="Gigamon DIR Price List" sheetId="6" r:id="rId2"/>
    <sheet name="Support Calculator" sheetId="21" state="hidden" r:id="rId3"/>
  </sheets>
  <definedNames>
    <definedName name="_xlnm._FilterDatabase" localSheetId="1" hidden="1">'Gigamon DIR Price List'!$A$1:$BK$322</definedName>
    <definedName name="cost" localSheetId="0">#REF!</definedName>
    <definedName name="cost">#REF!</definedName>
    <definedName name="description" localSheetId="0">#REF!</definedName>
    <definedName name="description">#REF!</definedName>
    <definedName name="_xlnm.Print_Area" localSheetId="0">'New Support Calculator'!$A$1:$B$35</definedName>
    <definedName name="_xlnm.Print_Area" localSheetId="2">'Support Calculator'!$A$1:$B$35</definedName>
    <definedName name="_xlnm.Print_Titles" localSheetId="1">'Gigamon DIR Price List'!$A:$A,'Gigamon DIR Price List'!$1:$1</definedName>
    <definedName name="SKU" localSheetId="0">#REF!</definedName>
    <definedName name="SKU">#REF!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7" i="6" l="1"/>
  <c r="D306" i="6"/>
  <c r="D305" i="6"/>
  <c r="D304" i="6"/>
  <c r="D303" i="6"/>
  <c r="D302" i="6"/>
  <c r="D301" i="6"/>
  <c r="D300" i="6"/>
  <c r="D299" i="6"/>
  <c r="D298" i="6"/>
  <c r="D297" i="6"/>
  <c r="D296" i="6"/>
  <c r="D295" i="6"/>
  <c r="D294" i="6"/>
  <c r="D293" i="6"/>
  <c r="D273" i="6"/>
  <c r="D272" i="6"/>
  <c r="D53" i="6"/>
  <c r="D52" i="6"/>
  <c r="D51" i="6"/>
  <c r="D55" i="6"/>
  <c r="D54" i="6"/>
  <c r="D249" i="6" l="1"/>
  <c r="D248" i="6"/>
  <c r="D250" i="6"/>
  <c r="D251" i="6"/>
  <c r="D252" i="6"/>
  <c r="D253" i="6"/>
  <c r="D254" i="6"/>
  <c r="D255" i="6"/>
  <c r="D256" i="6"/>
  <c r="D257" i="6"/>
  <c r="D260" i="6"/>
  <c r="D259" i="6"/>
  <c r="D258" i="6"/>
  <c r="D263" i="6"/>
  <c r="D262" i="6"/>
  <c r="D261" i="6"/>
  <c r="D264" i="6"/>
  <c r="D265" i="6"/>
  <c r="D266" i="6"/>
  <c r="D267" i="6"/>
  <c r="D268" i="6"/>
  <c r="D269" i="6"/>
  <c r="D270" i="6"/>
  <c r="D271" i="6"/>
  <c r="D319" i="6"/>
  <c r="D318" i="6"/>
  <c r="D317" i="6"/>
  <c r="D316" i="6"/>
  <c r="D315" i="6"/>
  <c r="D314" i="6"/>
  <c r="D313" i="6"/>
  <c r="D312" i="6"/>
  <c r="D311" i="6"/>
  <c r="D310" i="6"/>
  <c r="D309" i="6"/>
  <c r="D308" i="6"/>
  <c r="D292" i="6"/>
  <c r="D291" i="6"/>
  <c r="D290" i="6"/>
  <c r="D289" i="6"/>
  <c r="D288" i="6"/>
  <c r="D287" i="6"/>
  <c r="D286" i="6"/>
  <c r="D285" i="6"/>
  <c r="D284" i="6"/>
  <c r="D283" i="6"/>
  <c r="D282" i="6"/>
  <c r="D281" i="6"/>
  <c r="D280" i="6"/>
  <c r="D279" i="6"/>
  <c r="D278" i="6"/>
  <c r="D277" i="6"/>
  <c r="D276" i="6"/>
  <c r="D275" i="6"/>
  <c r="D27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34" i="30" l="1"/>
  <c r="K39" i="30"/>
  <c r="I39" i="30"/>
  <c r="H39" i="30"/>
  <c r="F39" i="30"/>
  <c r="L38" i="30" s="1"/>
  <c r="J38" i="30"/>
  <c r="I38" i="30"/>
  <c r="H38" i="30"/>
  <c r="G38" i="30"/>
  <c r="F38" i="30"/>
  <c r="E38" i="30"/>
  <c r="D38" i="30"/>
  <c r="C38" i="30"/>
  <c r="B38" i="30"/>
  <c r="A38" i="30"/>
  <c r="L34" i="30"/>
  <c r="F26" i="30"/>
  <c r="F29" i="30"/>
  <c r="A34" i="30" s="1"/>
  <c r="B34" i="30" s="1"/>
  <c r="F28" i="30"/>
  <c r="H28" i="30" s="1"/>
  <c r="F27" i="30"/>
  <c r="A38" i="21"/>
  <c r="B38" i="21" s="1"/>
  <c r="A34" i="21"/>
  <c r="B34" i="21"/>
  <c r="D38" i="21"/>
  <c r="H39" i="21"/>
  <c r="L34" i="21"/>
  <c r="D34" i="21"/>
  <c r="D13" i="21"/>
  <c r="H34" i="21"/>
  <c r="H38" i="21" s="1"/>
  <c r="H34" i="30"/>
  <c r="B8" i="30" l="1"/>
  <c r="B19" i="30"/>
  <c r="D13" i="30"/>
  <c r="B14" i="21"/>
  <c r="B16" i="21"/>
  <c r="D11" i="30"/>
  <c r="B10" i="30"/>
  <c r="B15" i="21"/>
  <c r="D15" i="30"/>
  <c r="D11" i="21"/>
  <c r="K38" i="30"/>
  <c r="B14" i="30" l="1"/>
  <c r="B19" i="21"/>
  <c r="B11" i="21"/>
  <c r="B16" i="30"/>
  <c r="B11" i="30"/>
  <c r="B8" i="21"/>
  <c r="D15" i="21"/>
  <c r="B6" i="30"/>
  <c r="B6" i="21"/>
  <c r="B10" i="21"/>
  <c r="B15" i="30"/>
  <c r="B13" i="30"/>
  <c r="B13" i="21"/>
  <c r="B7" i="21"/>
  <c r="B7" i="30"/>
  <c r="B9" i="30"/>
  <c r="B9" i="21"/>
  <c r="D17" i="30"/>
  <c r="D18" i="30" s="1"/>
  <c r="D17" i="21"/>
  <c r="B12" i="30"/>
  <c r="B12" i="21"/>
  <c r="D18" i="21" l="1"/>
  <c r="B18" i="21"/>
  <c r="B18" i="30"/>
  <c r="B20" i="21" l="1"/>
  <c r="C34" i="21"/>
  <c r="C38" i="21" s="1"/>
  <c r="B20" i="30"/>
  <c r="C34" i="30"/>
  <c r="E34" i="30" s="1"/>
  <c r="E34" i="21" l="1"/>
  <c r="I34" i="21" s="1"/>
  <c r="F34" i="30"/>
  <c r="I34" i="30"/>
  <c r="I35" i="30" s="1"/>
  <c r="E38" i="21" l="1"/>
  <c r="I38" i="21" s="1"/>
  <c r="F34" i="21"/>
  <c r="J34" i="21" s="1"/>
  <c r="G34" i="30"/>
  <c r="J34" i="30" s="1"/>
  <c r="I35" i="21"/>
  <c r="G34" i="21" l="1"/>
  <c r="H35" i="21" s="1"/>
  <c r="F35" i="21"/>
  <c r="F38" i="21" s="1"/>
  <c r="F39" i="21" s="1"/>
  <c r="L38" i="21" s="1"/>
  <c r="K35" i="30"/>
  <c r="K34" i="30"/>
  <c r="H35" i="30"/>
  <c r="F35" i="30"/>
  <c r="I39" i="21"/>
  <c r="K34" i="21"/>
  <c r="K35" i="21"/>
  <c r="G38" i="21" l="1"/>
  <c r="K38" i="21" s="1"/>
  <c r="J38" i="21"/>
  <c r="K39" i="21" s="1"/>
</calcChain>
</file>

<file path=xl/sharedStrings.xml><?xml version="1.0" encoding="utf-8"?>
<sst xmlns="http://schemas.openxmlformats.org/spreadsheetml/2006/main" count="908" uniqueCount="738">
  <si>
    <t>GSW-WBX00</t>
  </si>
  <si>
    <t>GTP-ATX00</t>
  </si>
  <si>
    <t>GTP-ATX01</t>
  </si>
  <si>
    <t>GTP-ATX02</t>
  </si>
  <si>
    <t>GTP-ASF00</t>
  </si>
  <si>
    <t>GTP-ASF01</t>
  </si>
  <si>
    <t>GTP-ASF02</t>
  </si>
  <si>
    <t>CF2-503</t>
  </si>
  <si>
    <t>100 Gig CFP2, Singlemode LR4</t>
  </si>
  <si>
    <t>CLS-TAQ00</t>
  </si>
  <si>
    <t>GVS-TAQ01</t>
  </si>
  <si>
    <t>GVS-TAQ02</t>
  </si>
  <si>
    <t>TAP-HC0-G100C0</t>
  </si>
  <si>
    <t>GFM-VM010</t>
  </si>
  <si>
    <t>GFM-VM050</t>
  </si>
  <si>
    <t>GFM-VM100</t>
  </si>
  <si>
    <t>GFM-VM250</t>
  </si>
  <si>
    <t>PWR-2AC</t>
  </si>
  <si>
    <t>PWR-2DC</t>
  </si>
  <si>
    <t>CLS-TA100</t>
  </si>
  <si>
    <t>QSB-501</t>
  </si>
  <si>
    <t>40 Gig QSFP+ BiDi, Multimode SR RX-only</t>
  </si>
  <si>
    <t>PWR-GTA01</t>
  </si>
  <si>
    <t>Spare Power Supply Module, Requires G-TAP A Series Power Supply Tray, AC</t>
  </si>
  <si>
    <t>PWR-GTA02</t>
  </si>
  <si>
    <t>Spare Power Supply Module, Requires G-TAP A Series Power Supply Tray, DC</t>
  </si>
  <si>
    <t>SMT-HC0-SSL</t>
  </si>
  <si>
    <t>TAP-HC0-D25BC0</t>
  </si>
  <si>
    <t>SMT-HC0-DD1</t>
  </si>
  <si>
    <t>SMT-HC0-APF</t>
  </si>
  <si>
    <t>SMT-HC0-NF1</t>
  </si>
  <si>
    <t>BPS-HC0-D25A4G</t>
  </si>
  <si>
    <t>BPS-HC0-D25B4G</t>
  </si>
  <si>
    <t>BPS-HC0-D35C4G</t>
  </si>
  <si>
    <t>SMT-HC0-X16</t>
  </si>
  <si>
    <t>GFM-FM000</t>
  </si>
  <si>
    <t>CHS-HC200</t>
  </si>
  <si>
    <t>Spare Chassis for HC2, without Modules, Control Cards, Fans, Power Supplies</t>
  </si>
  <si>
    <t>FAN-HC200</t>
  </si>
  <si>
    <t>GigaVUE-HC2 Fan Assembly, each (1 required)</t>
  </si>
  <si>
    <t>PRT-HC0-X24</t>
  </si>
  <si>
    <t>PRT-HC0-Q06</t>
  </si>
  <si>
    <t>PWR-HC201</t>
  </si>
  <si>
    <t>Power Supply Module, GigaVUE-HC2, AC</t>
  </si>
  <si>
    <t>PWR-HC202</t>
  </si>
  <si>
    <t>Power Supply Module, GigaVUE-HC2, DC</t>
  </si>
  <si>
    <t>SMT-HC0-R</t>
  </si>
  <si>
    <t>SMT-HC0-HS1</t>
  </si>
  <si>
    <t>SMT-HC0-AT1</t>
  </si>
  <si>
    <t>SMT-HC0-FVU</t>
  </si>
  <si>
    <t>SMT-HC0-GTP250</t>
  </si>
  <si>
    <t>SMT-HC0-GTP500</t>
  </si>
  <si>
    <t>SMT-HC0-GTPMAX</t>
  </si>
  <si>
    <t>TAP-HC0-D25AC0</t>
  </si>
  <si>
    <t>TAP-HC0-D35CC0</t>
  </si>
  <si>
    <t>PCD-00009</t>
  </si>
  <si>
    <t>Power Cord, JP plug</t>
  </si>
  <si>
    <t>PCD-000R9</t>
  </si>
  <si>
    <t>Power Cord, right angle, JP plug (recommended for GigaVUE HD Series)</t>
  </si>
  <si>
    <t>BAT-GTA00</t>
  </si>
  <si>
    <t>Battery Pack G-TAP A Series</t>
  </si>
  <si>
    <t>RMB-045</t>
  </si>
  <si>
    <t>CHS-GV400</t>
  </si>
  <si>
    <t>Spare Chassis for GigaVUE-420, without Power Supplies</t>
  </si>
  <si>
    <t>CHS-HD400</t>
  </si>
  <si>
    <t>CHS-HD800</t>
  </si>
  <si>
    <t>SFP-532</t>
  </si>
  <si>
    <t>SFP-533</t>
  </si>
  <si>
    <t>SFP-534</t>
  </si>
  <si>
    <t>110/240 V AC power supply module, HB1, 420, 212 or G-SECURE chassis (EOS)</t>
  </si>
  <si>
    <t>-48 V DC power supply module, HB1, 420, 212 or G-SECURE chassis (EOS)</t>
  </si>
  <si>
    <t>FAN-HD400</t>
  </si>
  <si>
    <t>CFP-502</t>
  </si>
  <si>
    <t>CFP-503</t>
  </si>
  <si>
    <t>QSF-502</t>
  </si>
  <si>
    <t>QSF-503</t>
  </si>
  <si>
    <t>SFP-501</t>
  </si>
  <si>
    <t>SFP-502</t>
  </si>
  <si>
    <t>SFP-503</t>
  </si>
  <si>
    <t>SFP-535</t>
  </si>
  <si>
    <t>CBL-005</t>
  </si>
  <si>
    <t>CBL-015</t>
  </si>
  <si>
    <t>CBL-205</t>
  </si>
  <si>
    <t>CBL-310</t>
  </si>
  <si>
    <t>SFP+ Active Fiber Cable, 10 meters</t>
  </si>
  <si>
    <t>100 Gig CFP, Multimode SR10</t>
  </si>
  <si>
    <t>100 Gig CFP, Singlemode LR4</t>
  </si>
  <si>
    <t>PCD-000R1</t>
  </si>
  <si>
    <t>PCD-000R3</t>
  </si>
  <si>
    <t>PCD-000R5</t>
  </si>
  <si>
    <t>PCD-000R7</t>
  </si>
  <si>
    <t>40 Gig QSFP+, Singlemode LR4</t>
  </si>
  <si>
    <t>CBL-405</t>
  </si>
  <si>
    <t>FAN-HD80S</t>
  </si>
  <si>
    <t>TAP-255</t>
  </si>
  <si>
    <t>TAP-262</t>
  </si>
  <si>
    <t>TAP-275</t>
  </si>
  <si>
    <t>Active Fiber cable, 5 meters (QSFP approved)</t>
  </si>
  <si>
    <t>CBL-410</t>
  </si>
  <si>
    <t>Active Fiber cable, 10 meters (QSFP approved)</t>
  </si>
  <si>
    <t>CBL-450</t>
  </si>
  <si>
    <t>Active Fiber cable, 50 meters (QSFP approved)</t>
  </si>
  <si>
    <t>FAN-HD800</t>
  </si>
  <si>
    <t>FAN-TA100</t>
  </si>
  <si>
    <t>GigaVUE-TA1 Fan Assembly, each (2 required)</t>
  </si>
  <si>
    <t>FIL-HD400</t>
  </si>
  <si>
    <t>FIL-HD800</t>
  </si>
  <si>
    <t>G-TAP A Series, Always On SFP/SFP+ TAP, No Power</t>
  </si>
  <si>
    <t>G-TAP A Series, Always On SFP/SFP+ TAP, DC Power</t>
  </si>
  <si>
    <t>PBK-GTA03</t>
  </si>
  <si>
    <t xml:space="preserve">Power Brick for G-TAP A Series (AC to DC transformer), EU Plug </t>
  </si>
  <si>
    <t>PBK-GTA05</t>
  </si>
  <si>
    <t xml:space="preserve">Power Brick for G-TAP A Series (AC to DC transformer), UK Plug </t>
  </si>
  <si>
    <t>PBK-GTA07</t>
  </si>
  <si>
    <t xml:space="preserve">Power Brick for G-TAP A Series (AC to DC transformer), AU Plug </t>
  </si>
  <si>
    <t>PCD-00001</t>
  </si>
  <si>
    <t>Spare Power Cord, 125VAC</t>
  </si>
  <si>
    <t>PCD-00003</t>
  </si>
  <si>
    <t>Power Cord, EU plug</t>
  </si>
  <si>
    <t>PCD-00005</t>
  </si>
  <si>
    <t>Power Cord, UK plug</t>
  </si>
  <si>
    <t>PCD-00007</t>
  </si>
  <si>
    <t>Power Cord, AU plug</t>
  </si>
  <si>
    <t>PSC-HD401</t>
  </si>
  <si>
    <t>PSC-HD402</t>
  </si>
  <si>
    <t>PSC-HD801</t>
  </si>
  <si>
    <t>PSC-HD802</t>
  </si>
  <si>
    <t>PWR-TA101</t>
  </si>
  <si>
    <t>Power Supply Module, GigaVUE-TA1, AC</t>
  </si>
  <si>
    <t>PWR-TA102</t>
  </si>
  <si>
    <t>Power Supply Module, GigaVUE-TA1, DC</t>
  </si>
  <si>
    <t>UPG-TA100</t>
  </si>
  <si>
    <t>Upgrade option to enable all GigaVUE-TA1 ports (48 10G + 4 40G)</t>
  </si>
  <si>
    <t>TAP-261</t>
  </si>
  <si>
    <t>RMT-GTA03</t>
  </si>
  <si>
    <t>G-TAP A Series, Always On copper TAP, No Power</t>
  </si>
  <si>
    <t>PBK-GTA01</t>
  </si>
  <si>
    <t>Power Brick for G-TAP A Series (AC to DC transformer)</t>
  </si>
  <si>
    <t xml:space="preserve">Rack Mount Tray, 3-bay G-TAP A Series </t>
  </si>
  <si>
    <t>PST-GTA01</t>
  </si>
  <si>
    <t>PST-GTA02</t>
  </si>
  <si>
    <t>TAP-263</t>
  </si>
  <si>
    <t>SKU</t>
  </si>
  <si>
    <t>GVS-TAX01</t>
  </si>
  <si>
    <t>GVS-TAX02</t>
  </si>
  <si>
    <t>GVS-TAX01A</t>
  </si>
  <si>
    <t>GVS-TAX02A</t>
  </si>
  <si>
    <t>GVS-TAC01</t>
  </si>
  <si>
    <t>GVS-TAC02</t>
  </si>
  <si>
    <t>GVS-TACX1</t>
  </si>
  <si>
    <t>GVS-TACX2</t>
  </si>
  <si>
    <t>GVS-TAC21</t>
  </si>
  <si>
    <t xml:space="preserve">GigaVUE-TA200 edge node, 32 100G ports enabled, 2 power supplies, 4 fan trays, AC power </t>
  </si>
  <si>
    <t>GVS-TAC22</t>
  </si>
  <si>
    <t xml:space="preserve">GigaVUE-TA200 edge node, 32 100G ports enabled, 2 power supplies, 4 fan trays, DC power </t>
  </si>
  <si>
    <t>UPG-TAX00</t>
  </si>
  <si>
    <t>UPG-TAC24</t>
  </si>
  <si>
    <t>UPG-TAC32</t>
  </si>
  <si>
    <t>UPG-TAC20</t>
  </si>
  <si>
    <t>Upgrade option for GigaVUE-TA200 to enable all 64 100G ports</t>
  </si>
  <si>
    <t>Advanced Features License, GigaVUE-TA1/10 and 10G Whitebox, per node</t>
  </si>
  <si>
    <t>Advanced Features License, GigaVUE-TA40, per node</t>
  </si>
  <si>
    <t>CLS-TAC00</t>
  </si>
  <si>
    <t>Advanced Features License, GigaVUE-TA100, per node</t>
  </si>
  <si>
    <t>CLS-TAC20</t>
  </si>
  <si>
    <t>GVS-HC101</t>
  </si>
  <si>
    <t>GVS-HC102</t>
  </si>
  <si>
    <t>BPS-HC1-D25A24</t>
  </si>
  <si>
    <t>TAP-HC1-G10040</t>
  </si>
  <si>
    <t>SMT-HC1-BSE</t>
  </si>
  <si>
    <t>SMT-HC1-DD1</t>
  </si>
  <si>
    <t>SMT-HC1-HS1</t>
  </si>
  <si>
    <t>SMT-HC1-TUN</t>
  </si>
  <si>
    <t>SMT-HC1-NF1</t>
  </si>
  <si>
    <t>SMT-HC1-FVU</t>
  </si>
  <si>
    <t>SMT-HC1-APF</t>
  </si>
  <si>
    <t>SMT-HC1-ASF</t>
  </si>
  <si>
    <t>SMT-HC1-SSL</t>
  </si>
  <si>
    <t>SMT-HC1-INSSL</t>
  </si>
  <si>
    <t xml:space="preserve">SMT-HC1-UPGINSSL </t>
  </si>
  <si>
    <t>GigaSMART, GigaVUE-HC1, SSL Decryption Upgrade for Inline Tools Feature License per GigaSMART module</t>
  </si>
  <si>
    <t>CTL-HC0-002</t>
  </si>
  <si>
    <t>GVS-HC2A1</t>
  </si>
  <si>
    <t>GVS-HC2A2</t>
  </si>
  <si>
    <t>BPS-HC0-Q25A28</t>
  </si>
  <si>
    <t>PRT-HC0-C02</t>
  </si>
  <si>
    <t>SMT-HC0-ASF</t>
  </si>
  <si>
    <t>SMT-HC0-INSSL</t>
  </si>
  <si>
    <t>SMT-HC0-UPGINSSL</t>
  </si>
  <si>
    <t>SMT-HC0-SIP10</t>
  </si>
  <si>
    <t>GigaSMART, GigaVUE-HC2, SIP &amp; RTP Correlation feature license per GigaSMART module, 10K sessions</t>
  </si>
  <si>
    <t>SMT-HC0-SIPMAX</t>
  </si>
  <si>
    <t>GigaSMART, GigaVUE-HC2, SIP &amp; RTP Correlation feature license per GigaSMART module, unlimited sessions</t>
  </si>
  <si>
    <t>GVS-HC301</t>
  </si>
  <si>
    <t>GVS-HC302</t>
  </si>
  <si>
    <t>PRT-HC3-C08Q08</t>
  </si>
  <si>
    <t>PRT-HC3-X24</t>
  </si>
  <si>
    <t>BPS-HC3-C25F2G</t>
  </si>
  <si>
    <t>SMT-HC3-C05</t>
  </si>
  <si>
    <t>SMT-HC3-DD1</t>
  </si>
  <si>
    <t>SMT-HC3-HS1</t>
  </si>
  <si>
    <t>SMT-HC3-AT1</t>
  </si>
  <si>
    <t>SMT-HC3-FVU</t>
  </si>
  <si>
    <t>SMT-HC3-APF</t>
  </si>
  <si>
    <t>SMT-HC3-ASF</t>
  </si>
  <si>
    <t>SMT-HC3-NF1</t>
  </si>
  <si>
    <t>SMT-HC3-SSL</t>
  </si>
  <si>
    <t>SMT-HC3-INSSL</t>
  </si>
  <si>
    <t>SMT-HC3-GTPMAX</t>
  </si>
  <si>
    <t>SMT-HC3-SIPMAX</t>
  </si>
  <si>
    <t>GigaSMART, GigaVUE-HC3, SIP &amp; RTP Correlation feature license per GigaSMART module, unlimited sessions</t>
  </si>
  <si>
    <t>TAP-200</t>
  </si>
  <si>
    <t>TAP-252</t>
  </si>
  <si>
    <t>TAP-272</t>
  </si>
  <si>
    <t>TAP-M200</t>
  </si>
  <si>
    <t>TAP-M251</t>
  </si>
  <si>
    <t>TAP-M271</t>
  </si>
  <si>
    <t>TAP-M451</t>
  </si>
  <si>
    <t>TAP-M253</t>
  </si>
  <si>
    <t>TAP-M273</t>
  </si>
  <si>
    <t>TAP-M453</t>
  </si>
  <si>
    <t>TAP-M471</t>
  </si>
  <si>
    <t>TAP-M471-SR10</t>
  </si>
  <si>
    <t>TAP-M473</t>
  </si>
  <si>
    <t>TAP-M506</t>
  </si>
  <si>
    <t>PNL-M341</t>
  </si>
  <si>
    <t>PNL-M343</t>
  </si>
  <si>
    <t>GFM-AZU-100</t>
  </si>
  <si>
    <t>GFM-AZU-1000</t>
  </si>
  <si>
    <t>GFM-AWS-100</t>
  </si>
  <si>
    <t>GFM-AWS-1000</t>
  </si>
  <si>
    <t>GFM-HW0-FM010</t>
  </si>
  <si>
    <t>GFM-FM001</t>
  </si>
  <si>
    <t>GFM-FM005</t>
  </si>
  <si>
    <t>GFM-FM010</t>
  </si>
  <si>
    <t>GFM-FM-FTA</t>
  </si>
  <si>
    <t>GFM-VM-NSX</t>
  </si>
  <si>
    <t>GFM-UPG-510</t>
  </si>
  <si>
    <t>GFM-UPG-5P</t>
  </si>
  <si>
    <t>GFM-UPG-10P</t>
  </si>
  <si>
    <t>GFM-VM1000</t>
  </si>
  <si>
    <t>GFM-VTAP-100</t>
  </si>
  <si>
    <t>GFM-VTAP-250</t>
  </si>
  <si>
    <t>GFM-VTAP-1000</t>
  </si>
  <si>
    <t>CXP-502</t>
  </si>
  <si>
    <t>Q28-502</t>
  </si>
  <si>
    <t>Q28-503</t>
  </si>
  <si>
    <t>Q28-513</t>
  </si>
  <si>
    <t>100 Gig QSFP28, Singlemode CWDM4</t>
  </si>
  <si>
    <t>No</t>
  </si>
  <si>
    <t>QSB-502</t>
  </si>
  <si>
    <t>QSF-502-10P</t>
  </si>
  <si>
    <t>QSF-503-5P</t>
  </si>
  <si>
    <t>QSF-504</t>
  </si>
  <si>
    <t>40 Gig QSFP+, Singlemode ER4</t>
  </si>
  <si>
    <t>QSF-506</t>
  </si>
  <si>
    <t>SFP-532-20P</t>
  </si>
  <si>
    <t>SFP-533-20P</t>
  </si>
  <si>
    <t>FAN-TAXQ0</t>
  </si>
  <si>
    <t>FAN-TAC00</t>
  </si>
  <si>
    <t>FAN-HC300</t>
  </si>
  <si>
    <t>GigaVUE-HC3 Fan Assembly, each (5 required)</t>
  </si>
  <si>
    <t>FAN-TAC20</t>
  </si>
  <si>
    <t>GigaVUE-TA200 Fan Assembly, each (4 required)</t>
  </si>
  <si>
    <t>PWR-TAC21</t>
  </si>
  <si>
    <t>Power Supply Module, GigaVUE-TA200, AC</t>
  </si>
  <si>
    <t>PWR-TAC22</t>
  </si>
  <si>
    <t>Power Supply Module, GigaVUE-TA200, DC</t>
  </si>
  <si>
    <t>PWR-TAXQ1</t>
  </si>
  <si>
    <t>PWR-TAXQ2</t>
  </si>
  <si>
    <t>PWR-TAC01</t>
  </si>
  <si>
    <t>PWR-HC301</t>
  </si>
  <si>
    <t>PWR-HC302</t>
  </si>
  <si>
    <t>GPS-PSQ-QUO</t>
  </si>
  <si>
    <t>GPS-PSC-CST</t>
  </si>
  <si>
    <r>
      <t xml:space="preserve">Custom quoted Gigamon PS based on customer request and Gigamon recommended delivery. </t>
    </r>
    <r>
      <rPr>
        <sz val="8"/>
        <rFont val="Arial"/>
        <family val="2"/>
      </rPr>
      <t>(requires deal desk approval and manual quote)</t>
    </r>
  </si>
  <si>
    <t>GPS-PSR-KDA</t>
  </si>
  <si>
    <r>
      <rPr>
        <b/>
        <sz val="8"/>
        <rFont val="Arial"/>
        <family val="2"/>
      </rPr>
      <t>KICK START Remote Design and Deployment assistance, used w/in 6 months of services kick off date.</t>
    </r>
    <r>
      <rPr>
        <sz val="8"/>
        <rFont val="Arial"/>
        <family val="2"/>
      </rPr>
      <t xml:space="preserve">
KICK START Remote Design and Deployment assistance, ideal for software upgrades, small deployments, and limited feature additions.  
*includes up to 1 (one), 8-hour work-day of remote assistance, used w/in 6 months of services kick off date.</t>
    </r>
  </si>
  <si>
    <t>GPS-PSO-WDA</t>
  </si>
  <si>
    <r>
      <rPr>
        <b/>
        <sz val="8"/>
        <rFont val="Arial"/>
        <family val="2"/>
      </rPr>
      <t xml:space="preserve">Gigamon On-site PS work-day, used within 6 months of services kick off date. 
</t>
    </r>
    <r>
      <rPr>
        <sz val="8"/>
        <rFont val="Arial"/>
        <family val="2"/>
      </rPr>
      <t xml:space="preserve">Gigamon On-site work-day used as needed for design, deploy, maintain, or optimize activity.
*includes up to 1 (one) 8-hour regular time working day of on-site assistance at the customer identified location, used within 6 months of services kick off date. </t>
    </r>
  </si>
  <si>
    <t>GPS-PSR-CDA</t>
  </si>
  <si>
    <r>
      <rPr>
        <b/>
        <sz val="8"/>
        <rFont val="Arial"/>
        <family val="2"/>
      </rPr>
      <t>COMPACT Remote Design and Deployment assistance, used within 6 months of services kick off date.</t>
    </r>
    <r>
      <rPr>
        <sz val="8"/>
        <rFont val="Arial"/>
        <family val="2"/>
      </rPr>
      <t xml:space="preserve">
COMPACT Remote Design and Deployment assistance ideal for remote sites that don’t require physical presence to  accomplish project goals, or projects that don’t need in-person contact  between client and Gigamon staff.  
*includes up to 3, 8-hour work-days of remote design and deployment assistance, used within 6 months of services kick off date.</t>
    </r>
  </si>
  <si>
    <t>GPS-PSO-CDA</t>
  </si>
  <si>
    <r>
      <rPr>
        <b/>
        <sz val="8"/>
        <rFont val="Arial"/>
        <family val="2"/>
      </rPr>
      <t xml:space="preserve">COMPACT Onsite Design and Deployment assistance, used within 6 months of services kick off date.
</t>
    </r>
    <r>
      <rPr>
        <sz val="8"/>
        <rFont val="Arial"/>
        <family val="2"/>
      </rPr>
      <t xml:space="preserve">
COMPACT Onsite Design and Deployment assistance recommended where face to face contact is needed for improved communication, when physical onsite work needs to be done by Gigamon staff, or when client policy doesn’t allow remote equipment access.
*includes up to 3, 8-hour work-days of remote design and deployment assistance with 1 on-site visit to customer site, used within 6 months of services kick off date.</t>
    </r>
  </si>
  <si>
    <t>GPS-PSO-MDA</t>
  </si>
  <si>
    <r>
      <rPr>
        <b/>
        <sz val="8"/>
        <rFont val="Arial"/>
        <family val="2"/>
      </rPr>
      <t>MIDSIZE Onsite Design and Deployment assistance, used within 6 months of services kick off date.</t>
    </r>
    <r>
      <rPr>
        <sz val="8"/>
        <rFont val="Arial"/>
        <family val="2"/>
      </rPr>
      <t xml:space="preserve">
MIDSIZE Onsite Design and Deployment assistance recommended where face to face contact is needed for improved communication, when physical onsite work needs to be done by Gigamon staff, or when client policy doesn’t allow remote equipment access. 
*includes up to 4, 8-hour work-days of design and deployment assistance with 1 on-site visit to customer site, used within 6 months of services kick off date.</t>
    </r>
  </si>
  <si>
    <t>GPS-PSO-FDA</t>
  </si>
  <si>
    <r>
      <rPr>
        <b/>
        <sz val="8"/>
        <rFont val="Arial"/>
        <family val="2"/>
      </rPr>
      <t>FULLSIZE Onsite Design and Deployment assistance, used within 6 months of services kick off date.</t>
    </r>
    <r>
      <rPr>
        <sz val="8"/>
        <rFont val="Arial"/>
        <family val="2"/>
      </rPr>
      <t xml:space="preserve">
FULLSIZE Onsite Design and Deployment assistance recommended for larger and/or more complex assignments, where face to face contact is needed for improved communication, when physical onsite work needs to be done by Gigamon staff, or when client policy doesn’t allow remote equipment access.  
*includes up to 6, 8-hour work-days of design and deployment assistance with 1 on-site visit to customer site, used within 6 months of services kick off date.</t>
    </r>
  </si>
  <si>
    <t>GPS-PSR-AWD</t>
  </si>
  <si>
    <r>
      <rPr>
        <b/>
        <sz val="8"/>
        <rFont val="Arial"/>
        <family val="2"/>
      </rPr>
      <t>Gigamon PS add-on work day to Gigamon PS design/deployment assistance packages, use w/in 6 months.</t>
    </r>
    <r>
      <rPr>
        <sz val="8"/>
        <rFont val="Arial"/>
        <family val="2"/>
      </rPr>
      <t xml:space="preserve">
Gigamon Professional Services Additional work-day used only in combination with Gigamon PS design and deployment assistance packages as needed for larger or more complex customer deployment environment and/or use-case(s).
*includes up to 8-hour regular time working days of design and deployment assistance, used within 6 months of services kick off date.</t>
    </r>
  </si>
  <si>
    <t>GPS-PSR-AHU</t>
  </si>
  <si>
    <r>
      <rPr>
        <b/>
        <sz val="8"/>
        <rFont val="Arial"/>
        <family val="2"/>
      </rPr>
      <t xml:space="preserve">Gigamon PS After Hours Uplift to standard work day, used within 6 months of services kick off date.
</t>
    </r>
    <r>
      <rPr>
        <sz val="8"/>
        <rFont val="Arial"/>
        <family val="2"/>
      </rPr>
      <t>Gigamon Professional Services After Hours Uplift for each after hours work-day (work requested outside of normal work-day hours).  Typically used for initial deployment or other support assistance during maintenance windows.
*Must be used in combination with a Gigamon PS standard work day and used within 6 months of services kick off date.</t>
    </r>
  </si>
  <si>
    <t>GPS-GOS-RSE</t>
  </si>
  <si>
    <r>
      <rPr>
        <b/>
        <sz val="8"/>
        <rFont val="Arial"/>
        <family val="2"/>
      </rPr>
      <t>Gigamon On-site Resident Support Engineer  - Annual Contracted On-site Support - 50 Weeks</t>
    </r>
    <r>
      <rPr>
        <sz val="8"/>
        <rFont val="Arial"/>
        <family val="2"/>
      </rPr>
      <t xml:space="preserve">
Recommended for a customer with a large rapidly changing Gigamon deployment requiring Gigamon expertise beyond their current staff capabilities.</t>
    </r>
  </si>
  <si>
    <t>GPS-GOS-RS0</t>
  </si>
  <si>
    <r>
      <rPr>
        <b/>
        <sz val="8"/>
        <rFont val="Arial"/>
        <family val="2"/>
      </rPr>
      <t>Gigamon On-site Support Engineer  - Annual Contracted On-site Support  (1 day / month)</t>
    </r>
    <r>
      <rPr>
        <sz val="8"/>
        <rFont val="Arial"/>
        <family val="2"/>
      </rPr>
      <t xml:space="preserve">
Recommended for a customer with a changing Gigamon deployment requiring Gigamon expertise beyond their current staff capabilities.</t>
    </r>
  </si>
  <si>
    <t>GPS-GOS-RS1</t>
  </si>
  <si>
    <r>
      <rPr>
        <b/>
        <sz val="8"/>
        <rFont val="Arial"/>
        <family val="2"/>
      </rPr>
      <t>Gigamon On-site Support Engineer  - Annual Contracted On-site Support  (1 week / month)</t>
    </r>
    <r>
      <rPr>
        <sz val="8"/>
        <rFont val="Arial"/>
        <family val="2"/>
      </rPr>
      <t xml:space="preserve">
Recommended for a customer with a large changing Gigamon deployment requiring Gigamon expertise beyond their current staff capabilities.</t>
    </r>
  </si>
  <si>
    <t>GPS-GOS-RS2</t>
  </si>
  <si>
    <r>
      <rPr>
        <b/>
        <sz val="8"/>
        <rFont val="Arial"/>
        <family val="2"/>
      </rPr>
      <t>Gigamon On-site Support Engineer  - Annual Contracted On-site Support  (2 weeks / month)</t>
    </r>
    <r>
      <rPr>
        <sz val="8"/>
        <rFont val="Arial"/>
        <family val="2"/>
      </rPr>
      <t xml:space="preserve">
Recommended for a customer with a large rapidly changing Gigamon deployment requiring Gigamon expertise beyond their current staff capabilities.</t>
    </r>
  </si>
  <si>
    <t>GPS-GOS-RS3</t>
  </si>
  <si>
    <r>
      <rPr>
        <b/>
        <sz val="8"/>
        <rFont val="Arial"/>
        <family val="2"/>
      </rPr>
      <t>Gigamon On-site Support Engineer  - Annual Contracted On-site Support  (3 weeks / month)</t>
    </r>
    <r>
      <rPr>
        <sz val="8"/>
        <rFont val="Arial"/>
        <family val="2"/>
      </rPr>
      <t xml:space="preserve">
Recommended for a customer with a large rapidly changing Gigamon deployment requiring Gigamon expertise beyond their current staff capabilities.</t>
    </r>
  </si>
  <si>
    <t>GPS-GRS-RSE</t>
  </si>
  <si>
    <r>
      <rPr>
        <b/>
        <sz val="8"/>
        <rFont val="Arial"/>
        <family val="2"/>
      </rPr>
      <t>Gigamon Remote Resident Support Engineer  - Annual Contracted Remote Support - 50 Weeks</t>
    </r>
    <r>
      <rPr>
        <sz val="8"/>
        <rFont val="Arial"/>
        <family val="2"/>
      </rPr>
      <t xml:space="preserve">
Recommended for a customer with a large rapidly changing Gigamon deployment requiring Gigamon expertise beyond their current staff capabilities.</t>
    </r>
  </si>
  <si>
    <t>GPS-GRS-RS0</t>
  </si>
  <si>
    <r>
      <rPr>
        <b/>
        <sz val="8"/>
        <rFont val="Arial"/>
        <family val="2"/>
      </rPr>
      <t>Gigamon Remote Support Engineer  - Annual Contracted Remote Support  (1 day / month)</t>
    </r>
    <r>
      <rPr>
        <sz val="8"/>
        <rFont val="Arial"/>
        <family val="2"/>
      </rPr>
      <t xml:space="preserve">
Recommended for a customer with a changing Gigamon deployment requiring Gigamon expertise beyond their current staff capabilities.</t>
    </r>
  </si>
  <si>
    <t>GPS-GRS-RS1</t>
  </si>
  <si>
    <r>
      <rPr>
        <b/>
        <sz val="8"/>
        <rFont val="Arial"/>
        <family val="2"/>
      </rPr>
      <t>Gigamon Remote Support Engineer  - Annual Contracted Remote Support  (1 week / month)</t>
    </r>
    <r>
      <rPr>
        <sz val="8"/>
        <rFont val="Arial"/>
        <family val="2"/>
      </rPr>
      <t xml:space="preserve">
Recommended for a customer with a large changing Gigamon deployment requiring Gigamon expertise beyond their current staff capabilities.</t>
    </r>
  </si>
  <si>
    <t>GPS-GRS-RS2</t>
  </si>
  <si>
    <r>
      <rPr>
        <b/>
        <sz val="8"/>
        <rFont val="Arial"/>
        <family val="2"/>
      </rPr>
      <t>Gigamon Remote Support Engineer  - Annual Contracted Remote Support  (2 weeks / month)</t>
    </r>
    <r>
      <rPr>
        <sz val="8"/>
        <rFont val="Arial"/>
        <family val="2"/>
      </rPr>
      <t xml:space="preserve">
Recommended for a customer with a large rapidly changing Gigamon deployment requiring Gigamon expertise beyond their current staff capabilities.</t>
    </r>
  </si>
  <si>
    <t>GPS-GRS-RS3</t>
  </si>
  <si>
    <r>
      <rPr>
        <b/>
        <sz val="8"/>
        <rFont val="Arial"/>
        <family val="2"/>
      </rPr>
      <t>Gigamon Remote Support Engineer  - Annual Contracted Remote Support  (3 weeks / month)</t>
    </r>
    <r>
      <rPr>
        <sz val="8"/>
        <rFont val="Arial"/>
        <family val="2"/>
      </rPr>
      <t xml:space="preserve">
Recommended for a customer with a large rapidly changing Gigamon deployment requiring Gigamon expertise beyond their current staff capabilities.</t>
    </r>
  </si>
  <si>
    <t>GPS-PSR-PM1</t>
  </si>
  <si>
    <r>
      <rPr>
        <b/>
        <sz val="8"/>
        <rFont val="Arial"/>
        <family val="2"/>
      </rPr>
      <t xml:space="preserve">Gigamon PS Remote Project Mgmnt PS work-day, used within 6 months of services kick off date. 
</t>
    </r>
    <r>
      <rPr>
        <sz val="8"/>
        <rFont val="Arial"/>
        <family val="2"/>
      </rPr>
      <t xml:space="preserve">Gigamon Remote Project Management work-day applied to Gigamon design, deploy, maintain, or optimize project activity.
*includes up to 1 (one) 8-hour regular time working day of remote project management support, used within 6 months of services kick off date. </t>
    </r>
  </si>
  <si>
    <t>GPS-PSO-PM1</t>
  </si>
  <si>
    <r>
      <rPr>
        <b/>
        <sz val="8"/>
        <rFont val="Arial"/>
        <family val="2"/>
      </rPr>
      <t xml:space="preserve">Gigamon PS Onsite Project Mgmnt PS work-day, used within 6 months of services kick off date. 
</t>
    </r>
    <r>
      <rPr>
        <sz val="8"/>
        <rFont val="Arial"/>
        <family val="2"/>
      </rPr>
      <t xml:space="preserve">Gigamon Remote Project Mangement work-day applied to Gigamon design, deploy, maintain, or optimize project activity.
*includes up to 1 (one) 8-hour regular time working day of remote project management support, used within 6 months of services kick off date. </t>
    </r>
  </si>
  <si>
    <t>GPS-PSR-GNA</t>
  </si>
  <si>
    <r>
      <rPr>
        <b/>
        <sz val="8"/>
        <rFont val="Arial"/>
        <family val="2"/>
      </rPr>
      <t xml:space="preserve">Remote GigaHEALTH Network Assessment, used within 6 months of services kick off date.  </t>
    </r>
    <r>
      <rPr>
        <sz val="8"/>
        <rFont val="Arial"/>
        <family val="2"/>
      </rPr>
      <t xml:space="preserve">
Optimization assistance which provides remote Gigamon resource to collect, analyze and provide recommended optimization recommendations for customer’s Gigamon solution. 
*includes up to 1, 8-hour regular time working day of optimization services, used within 6 months of services kick off date.  Contact Gigamon Professional Services to determine the number of days required to assess and provide optimization recommendations for your network. </t>
    </r>
  </si>
  <si>
    <t>GPS-PSO-GNA</t>
  </si>
  <si>
    <r>
      <rPr>
        <b/>
        <sz val="8"/>
        <rFont val="Arial"/>
        <family val="2"/>
      </rPr>
      <t xml:space="preserve">Onsite GigaHEALTH Network Assessment, used within 6 months of services kick off date.  </t>
    </r>
    <r>
      <rPr>
        <sz val="8"/>
        <rFont val="Arial"/>
        <family val="2"/>
      </rPr>
      <t xml:space="preserve">
Onsite GigaHEALTH Network Assessment.  
Optimization assistance which provides on-site Gigamon resource to collect, analyze and provide recommended optimization recommendations for customer’s Gigamon solution. 
*includes up to 8-hour regular time working days of design and deployment assistance at the customer identified location, used within 6 months of services kick off date.  Contact Gigamon Professional Services to determine the number of days required to assess and provide optimization recommendations for your network.</t>
    </r>
  </si>
  <si>
    <t>GSS-CS4-MWS-PSS</t>
  </si>
  <si>
    <t>GSP-CS4-MWS-PLS</t>
  </si>
  <si>
    <t>GSP-CS4-MWS-PMR</t>
  </si>
  <si>
    <t>GSP-CS4-MWS-PRO</t>
  </si>
  <si>
    <t>Gigamon World Wide Price List (WWPL) and Support Calculator</t>
  </si>
  <si>
    <t>Gigamon support enabled product subtotals</t>
  </si>
  <si>
    <t>Gigamon non-support enabled product subtotals</t>
  </si>
  <si>
    <t>Product Families</t>
  </si>
  <si>
    <t>End User Price</t>
  </si>
  <si>
    <t>GigaVUE-420 support subtotal</t>
  </si>
  <si>
    <t>GigaVUE-420 subtotal</t>
  </si>
  <si>
    <t>GigaVUE-2404 support subtotal</t>
  </si>
  <si>
    <t>GigaVUE-2404 subtotal</t>
  </si>
  <si>
    <t>GigaVUE HA Series support subtotal</t>
  </si>
  <si>
    <t>GigaVUE HA Series subtotal</t>
  </si>
  <si>
    <t>GigaVUE HB Series support subtotal</t>
  </si>
  <si>
    <t>GigaVUE HB Series subtotal</t>
  </si>
  <si>
    <t>GigaVUE-HC1 support subtotal</t>
  </si>
  <si>
    <t>GigaVUE-HC1 subtotal</t>
  </si>
  <si>
    <t>GigaVUE-HC2 support subtotal</t>
  </si>
  <si>
    <t>GigaVUE-HC2 subtotal</t>
  </si>
  <si>
    <t>GigaVUE-HC3 support subtotal</t>
  </si>
  <si>
    <t>GigaVUE-HC3 subtotal</t>
  </si>
  <si>
    <t>GigaVUE HD Series support subtotal</t>
  </si>
  <si>
    <t>GigaVUE HD Series subtotal</t>
  </si>
  <si>
    <t>G-SECURE support subtotal</t>
  </si>
  <si>
    <t>G-SECURE subtotal</t>
  </si>
  <si>
    <t>G-TAP support subtotal</t>
  </si>
  <si>
    <t>G-TAP subtotal</t>
  </si>
  <si>
    <t>Software support subtotal</t>
  </si>
  <si>
    <t>Software subtotal</t>
  </si>
  <si>
    <t>Accessories subtotal</t>
  </si>
  <si>
    <t>Total Support enabled Product</t>
  </si>
  <si>
    <t>Total non-support enabled product</t>
  </si>
  <si>
    <t>Public Cloud solution sub total (support Included)</t>
  </si>
  <si>
    <t>Product Total</t>
  </si>
  <si>
    <t>Support Service Calculation</t>
  </si>
  <si>
    <t>Geography</t>
  </si>
  <si>
    <t>AMER</t>
  </si>
  <si>
    <t>Please pick a value for your location</t>
  </si>
  <si>
    <t>Are you a Distributor or VAR?</t>
  </si>
  <si>
    <t>VAR</t>
  </si>
  <si>
    <t>What Level is the VAR</t>
  </si>
  <si>
    <t>Silver/Gold/Platinum</t>
  </si>
  <si>
    <t>*Pass-through only</t>
  </si>
  <si>
    <t>Who is providing support?</t>
  </si>
  <si>
    <t>GIGA</t>
  </si>
  <si>
    <t>Please identify who is primary customer support provider</t>
  </si>
  <si>
    <t>What Support Level?  Basic (BAS), Enhanced (ENH) or Elite (ELT)?</t>
  </si>
  <si>
    <t>Elite</t>
  </si>
  <si>
    <t>Please indicate the type of support you desire</t>
  </si>
  <si>
    <t>Is this An Upgrade to Enhanced (ENH) or Elite (ELT) Order after initial Purchase or Renewal?</t>
  </si>
  <si>
    <t>New First year Upgrade request for after initial Sale.   (Note: Serial Number listing must be provided separately)</t>
  </si>
  <si>
    <t>Yes-Upg STD to ELT, 6%
Yes-Upg BAS to ENH, 3% 
Yes-Upg BAS to ELT,  6%
Yes-Upg ENH to ELT 3%</t>
  </si>
  <si>
    <t>What Support Partner Program type do you wish to buy? (Passthrough, Plus, Premier or Pro?)</t>
  </si>
  <si>
    <t>Passthrough</t>
  </si>
  <si>
    <t>This is only needed if the provider of support is other than Gigamon</t>
  </si>
  <si>
    <r>
      <t xml:space="preserve">How many </t>
    </r>
    <r>
      <rPr>
        <b/>
        <i/>
        <u/>
        <sz val="12"/>
        <color indexed="10"/>
        <rFont val="Arial"/>
        <family val="2"/>
      </rPr>
      <t>Months</t>
    </r>
    <r>
      <rPr>
        <b/>
        <sz val="12"/>
        <color indexed="10"/>
        <rFont val="Arial"/>
        <family val="2"/>
      </rPr>
      <t xml:space="preserve"> </t>
    </r>
    <r>
      <rPr>
        <b/>
        <sz val="12"/>
        <rFont val="Arial"/>
        <family val="2"/>
      </rPr>
      <t>of Support do you desire?</t>
    </r>
  </si>
  <si>
    <r>
      <t xml:space="preserve">Please indicate the Total Number of </t>
    </r>
    <r>
      <rPr>
        <b/>
        <i/>
        <u/>
        <sz val="12"/>
        <color indexed="10"/>
        <rFont val="Arial"/>
        <family val="2"/>
      </rPr>
      <t>Months</t>
    </r>
    <r>
      <rPr>
        <b/>
        <sz val="12"/>
        <color indexed="10"/>
        <rFont val="Arial"/>
        <family val="2"/>
      </rPr>
      <t xml:space="preserve"> </t>
    </r>
    <r>
      <rPr>
        <b/>
        <sz val="12"/>
        <rFont val="Arial"/>
        <family val="2"/>
      </rPr>
      <t xml:space="preserve">of Service </t>
    </r>
  </si>
  <si>
    <t>Additional Discount</t>
  </si>
  <si>
    <t>Required Approval</t>
  </si>
  <si>
    <t>Value Added Reseller(VAR) Order SKU/Lines</t>
  </si>
  <si>
    <t>Support SKU Number</t>
  </si>
  <si>
    <t>SKU Description</t>
  </si>
  <si>
    <t>Service List Price (1 Yr)</t>
  </si>
  <si>
    <t xml:space="preserve">Number of Months (min=12) </t>
  </si>
  <si>
    <t>Total Customer Price 
(List Price)</t>
  </si>
  <si>
    <t>VAR Discount (Recommended)</t>
  </si>
  <si>
    <t>Support Net Price</t>
  </si>
  <si>
    <t>Multi-Year Discount
(Discount Off VAR Support Net Price)</t>
  </si>
  <si>
    <t>Additional Discount Request    
(Off List)</t>
  </si>
  <si>
    <t>Total Discount</t>
  </si>
  <si>
    <t>Total VAR Price (Recommended)</t>
  </si>
  <si>
    <t>Support Provider Discount</t>
  </si>
  <si>
    <t>Equivalent Total Discount</t>
  </si>
  <si>
    <t>Distribution (Disti) Order SKU/Lines</t>
  </si>
  <si>
    <t>Disti Discount</t>
  </si>
  <si>
    <t>Disti Support Net Price</t>
  </si>
  <si>
    <t>Total Distribution Price</t>
  </si>
  <si>
    <t xml:space="preserve">·      Software maintenance is non-discountable and only applies to products listed in reference tab under column Support (“H”) identified by “Product” </t>
  </si>
  <si>
    <t>·       Support renewals (RNL-xxx and GSS-RNL-XXX) are calculated separately from this Price List.  Contact Gigamon Renewals for further information.</t>
  </si>
  <si>
    <t xml:space="preserve">·       Multi-Year Allowance is optional for customers purchasing 2 or more years of service.  The allowance is calculated off of the Service Net Price to the VAR level. </t>
  </si>
  <si>
    <t>GES-ILT-ILB</t>
  </si>
  <si>
    <t>GES-ILT-GCP</t>
  </si>
  <si>
    <t>GES-ILT-OS2</t>
  </si>
  <si>
    <t>GES-ILT-OS3</t>
  </si>
  <si>
    <t>GES-ILT-OS4</t>
  </si>
  <si>
    <t>GES-ILT-OS5</t>
  </si>
  <si>
    <t>GES-GCP-TST</t>
  </si>
  <si>
    <t>Gigamon Certified Professional Certification exam voucher for one delegate/single use</t>
  </si>
  <si>
    <t>Description</t>
  </si>
  <si>
    <t>Price</t>
  </si>
  <si>
    <t>Bypass Combo Module, GigaVUE-HC2, 4 SX/SR 50/125 BPS pairs, 16 10G cages</t>
  </si>
  <si>
    <t>Bypass Combo Module, GigaVUE-HC2, 4 SX/SR 62.5/125 BPS pairs, 16 10G cages</t>
  </si>
  <si>
    <t>Bypass Combo Module, GigaVUE-HC2, 4 LX/LR BPS pairs, 16 10G cages</t>
  </si>
  <si>
    <t>Bypass Combo Module, GigaVUE-HC2, 2 40G SR4 BPS pairs, 8 10G cages</t>
  </si>
  <si>
    <t>Bypass Combo Module, GigaVUE-HC1, 2 SX/SR 50/125 BPS pairs, 4 10G cages</t>
  </si>
  <si>
    <t>Bypass Combo Module, GigaVUE-HC3, 2 100Gb SR4 BPS pairs, 16 10G cages</t>
  </si>
  <si>
    <t>Stacking Cable, CX4 copper cable, 5 meters</t>
  </si>
  <si>
    <t>Stacking Cable, CX4 copper cable, 15 meters</t>
  </si>
  <si>
    <t>SFP+ to SFP+ Direct Attach Copper cable, 5 meters</t>
  </si>
  <si>
    <t>Spare Chassis for HD4, without Blades, Control Card, Fans, Power Supplies (EOS)</t>
  </si>
  <si>
    <t>Spare Chassis for HD8, without Blades, Control Cards, Fans, Power Supplies (EOS)</t>
  </si>
  <si>
    <t>Control Card Version 2, GigaVUE-HC2, each</t>
  </si>
  <si>
    <t>GigaVUE-HD4 Fan Assembly, each (2 required) (EOS)</t>
  </si>
  <si>
    <t>GigaVUE-HD8 Fan Assembly (EOS)</t>
  </si>
  <si>
    <t>GigaVUE-HD8 Fan Assembly, S Style, (Special Order)  (EOS)</t>
  </si>
  <si>
    <t>GigaVUE-TA10, TA40, HC1 fan assembly, each (2 required on TA10, 3 on TA40 and HC1)</t>
  </si>
  <si>
    <t>GigaVUE-TA100 Fan Assembly each (3 required)</t>
  </si>
  <si>
    <t>GigaVUE-HD4 Filter Assembly (EOS)</t>
  </si>
  <si>
    <t>GigaVUE-HD8 Filter Assembly (EOS)</t>
  </si>
  <si>
    <t>GigaVUE-FM Hardware Appliance, manages up to 10 Physical Visibility Fabric Nodes</t>
  </si>
  <si>
    <t>GigaVUE-FM, manage 1 Physical Visibility Fabric Node</t>
  </si>
  <si>
    <t xml:space="preserve">GigaVUE-FM, manage up to 5 Physical Visibility Fabric Nodes </t>
  </si>
  <si>
    <t>GigaVUE-FM, manage up to 10 Physical Visibility Fabric Nodes</t>
  </si>
  <si>
    <t>GigaVUE-FM Prime Edition, manage up to 200 Physical Visibility Fabric Nodes, includes FabricVUE Traffic Analyzer (GFM-FM-FTA) and VMware NSX Manager Integration (GFM-VM-NSX) add-ons</t>
  </si>
  <si>
    <t xml:space="preserve">GigaVUE-FM FabricVUE Traffic Analyzer, optional add-on for GFM-FM005 and GFM-FM010 licenses </t>
  </si>
  <si>
    <t>GigaVUE-FM add-on for VMware NSX Manager Integration, optional add-on for GFM-FM005 and GFM-FM010 licenses</t>
  </si>
  <si>
    <t xml:space="preserve">GigaVUE-FM Upgrade from 5-Pack to the 10-Pack Edition </t>
  </si>
  <si>
    <t>GigaVUE-FM Upgrade from 5-Pack to the Prime Edition, includes FabricVUE Traffic Analyzer (GFM-FM-FTA) and VMware NSX Manager Integration (GFM-VM-NSX) add ons</t>
  </si>
  <si>
    <t>GigaVUE-FM Upgrade from 10-Pack license to the Prime Edition for either Software only or Hardware Appliance, includes FabricVUE Traffic Analyzer (GFM-FM-FTA) and VMware NSX Manager Integration (GFM-VM-NSX) add ons</t>
  </si>
  <si>
    <t>GigaVUE-VM 10 Pack Bundle SW License Extension</t>
  </si>
  <si>
    <t>GigaVUE-VM 50 Pack Bundle SW License Extension</t>
  </si>
  <si>
    <t>GigaVUE-VM 100 Pack Bundle SW License Extension</t>
  </si>
  <si>
    <t>GigaVUE-VM 250 Pack Bundle SW License Extension</t>
  </si>
  <si>
    <t>GigaVUE-VM 1000 Pack Bundle SW License Extension</t>
  </si>
  <si>
    <t xml:space="preserve">Virtual Monitoring in OpenStack deployments for up to 100 virtual tap points. A ‘virtual tap point’ is any end point that can be tapped, for ex., a vNIC in a VM. </t>
  </si>
  <si>
    <t>Virtual Monitoring in OpenStack deployments for up to 250 virtual tap points. A ‘virtual tap point’ is any end point that can be tapped, for ex., a vNIC in a VM.</t>
  </si>
  <si>
    <t>Virtual Monitoring in OpenStack deployments for up to 1000 virtual tap points. A ‘virtual tap point’ is any end point that can be tapped, for ex., a vNIC in a VM.</t>
  </si>
  <si>
    <t xml:space="preserve">G-TAP A Series, Always On copper TAP, AC Power (US Plug) </t>
  </si>
  <si>
    <t>G-TAP A Series, Always On copper TAP, DC Power</t>
  </si>
  <si>
    <t>G-TAP A Series, Always On SFP/SFP+ TAP, AC Power (US Plug)</t>
  </si>
  <si>
    <t>Premium</t>
  </si>
  <si>
    <t>12% of Support enabled Product list price</t>
  </si>
  <si>
    <t>GigaVUE-HC1 node, 12 1G/10G cages, 4 10/100/1000M Copper, fan tray, 2 power supplies, AC power</t>
  </si>
  <si>
    <t>GigaVUE-HC1 node, 12 1G/10G cages, 4 10/100/1000M Copper, fan tray, 2 power supplies, DC power</t>
  </si>
  <si>
    <t xml:space="preserve">GigaVUE-HC2 base unit w/ chassis, Control Card Version 2, 1 Fan Tray, CLI,  2 power supplies, AC power </t>
  </si>
  <si>
    <t xml:space="preserve">GigaVUE-HC2 base unit w/ chassis, Control Card Version 2, 1 Fan Tray, CLI,  2 power supplies, DC power </t>
  </si>
  <si>
    <t>GigaVUE-HC3 base unit w/ chassis, Control Card, 5 Fan Modules, CLI,  2 power supplies, AC power </t>
  </si>
  <si>
    <t>GigaVUE-HC3 base unit w/ chassis, Control Card, 5 Fan Modules, CLI,  2 power supplies, DC power </t>
  </si>
  <si>
    <t>Port Module, GigaVUE-HC3, 8x100G QSFP28 cages and 8x40G QSFP+ cages</t>
  </si>
  <si>
    <t>GigaSMART, GigaVUE-HC3, 5x100G QSFP28 cages (includes Slicing, Masking, Source Port &amp; GigaVUE Tunneling De-Encapsulation SW)</t>
  </si>
  <si>
    <t>Port Module, GigaVUE-HC3, 24x10G</t>
  </si>
  <si>
    <t>GigaVUE-TA10 edge node, 4 40G cages + 48 10G cages, 2 power supplies, 2 Fan trays, AC power</t>
  </si>
  <si>
    <t>GigaVUE-TA10 edge node, 4 40G cages + 48 10G cages, 2 power supplies, 2 Fan trays, DC power</t>
  </si>
  <si>
    <t>GigaVUE-TA10 edge node, 24 10G ports enabled, 2 power supplies, 2 Fan trays, AC power</t>
  </si>
  <si>
    <t>GigaVUE-TA10 edge node, 24 10G ports enabled, 2 power supplies, 2 Fan trays, DC power</t>
  </si>
  <si>
    <t>GigaVUE-TA40 edge node, 32 40G cages, 2 power supplies, 3 fan trays, AC power</t>
  </si>
  <si>
    <t>GigaVUE-TA40 edge node, 32 40G cages, 2 power supplies, 3 fan trays, DC power</t>
  </si>
  <si>
    <t>GigaVUE-TA100 edge node, 32 100G cages, 2 power supplies, 3 fan trays, AC power; 16 ports enabled</t>
  </si>
  <si>
    <t>GigaVUE-TA100 edge node, 32 100G cages, 2 power supplies, 3 fan trays, DC power; 16 ports enabled</t>
  </si>
  <si>
    <t>GigaVUE-TA100 edge node, 20 100G CXP cages, 8 QSFP28 cages, 2 power supplies, 3 fan trays, AC power, all ports enabled</t>
  </si>
  <si>
    <t>GigaVUE-TA100 edge node, 20 100G CXP cages, 8 QSFP28 cages, 2 power supplies, 3 fan trays, DC power, all ports enabled</t>
  </si>
  <si>
    <t>GigaVUE-OS SW license for certified 10G-based white box edge hardware, perpetual license, Premium Support required</t>
  </si>
  <si>
    <t>Spare Power Cord, right angle, 125VAC (recommended for GigaVUE HD Series)</t>
  </si>
  <si>
    <t>Power Cord, right angle, EU plug (recommended for GigaVUE HD Series)</t>
  </si>
  <si>
    <t>Power Cord, right angle, UK plug (recommended for GigaVUE HD Series)</t>
  </si>
  <si>
    <t>Power Cord, right angle, AU plug (recommended for GigaVUE HD Series)</t>
  </si>
  <si>
    <t>G-TAP M Series Breakout Panel, 3xMPO to 12xLC duplex Singlemode, requires TAP-M200 chassis</t>
  </si>
  <si>
    <t>Port Module, GigaVUE-HC2, 24x10G</t>
  </si>
  <si>
    <t>Port Module, GigaVUE-HC2, 6x40G</t>
  </si>
  <si>
    <t>Port Module, GigaVUE-HC2, 2x100G QSFP28 cages. Requires Control Card Version 2</t>
  </si>
  <si>
    <t xml:space="preserve">Power Supply Tray, powers up to 8 RMT-GTA03 trays, AC Power </t>
  </si>
  <si>
    <t xml:space="preserve">Power Supply Tray, powers up to 8 RMT-GTA03 trays, DC Power </t>
  </si>
  <si>
    <t>Power Supply Canister, GigaVUE-HD4, AC (each) (EOS)</t>
  </si>
  <si>
    <t>Power Supply Canister, GigaVUE-HD4, DC (each) (EOS)</t>
  </si>
  <si>
    <t>Power Supply Canister, GigaVUE-HD8, AC (each) (EOS)</t>
  </si>
  <si>
    <t>Power Supply Canister, GigaVUE-HD8, DC (each) (EOS)</t>
  </si>
  <si>
    <t>Power Supply Module, GigaVUE-TA10, TA40 or HC1, AC, each</t>
  </si>
  <si>
    <t>Power Supply Module, GigaVUE-TA10, TA40, TA100 or HC1, DC, each</t>
  </si>
  <si>
    <t>Power Supply Module, GigaVUE-TA100, AC, each</t>
  </si>
  <si>
    <t>Power Supply Module, GigaVUE-HC3, AC (each)</t>
  </si>
  <si>
    <t>Power Supply Module, GigaVUE-HC3, DC (each)</t>
  </si>
  <si>
    <t>CXP 100G Multimode SR10</t>
  </si>
  <si>
    <t>100 Gig QSFP28, Multimode SR4</t>
  </si>
  <si>
    <t>100 Gig QSFP28, Singlemode LR4</t>
  </si>
  <si>
    <t>40 Gig QSFP+ BiDi, Multimode SR, Full Duplex</t>
  </si>
  <si>
    <t>40 Gig QSFP+, Multimode SR4</t>
  </si>
  <si>
    <t>10 pack of 40 Gig QSFP+, Multimode SR4</t>
  </si>
  <si>
    <t>5 pack of 40 Gig QSFP+, Singlemode LR4</t>
  </si>
  <si>
    <t>40 Gig QSFP+ Parallel Singlemode LR for 4x10G Breakout, 1310 nm</t>
  </si>
  <si>
    <t>Optional Rear Mounting Bracket 45 cm for GigaVUE-TA1 or GigaVUE-HB1 (EOS)</t>
  </si>
  <si>
    <t>1 Gig SFP, Copper, UTP with RJ45 interface</t>
  </si>
  <si>
    <t>1 Gig SFP, Multimode 850</t>
  </si>
  <si>
    <t>1 Gig SFP, Singlemode 1310</t>
  </si>
  <si>
    <t>10 Gig SFP+, Multimode 850nm SR</t>
  </si>
  <si>
    <t xml:space="preserve">10 Gig SFP+, Singlemode 1310nm LR </t>
  </si>
  <si>
    <t>20 pack of 10Gb SFP+, Multimode 850 nm SR</t>
  </si>
  <si>
    <t>20 pack of 10Gb SFP+, Singlemode 1310 nm LR</t>
  </si>
  <si>
    <t>10 Gig SFP+, Singlemode 1550nm ER (Special Order)</t>
  </si>
  <si>
    <t>10 Gig SFP+, Multimode 1310nm LRM (Special Order)</t>
  </si>
  <si>
    <t>SMT-FIL</t>
  </si>
  <si>
    <t xml:space="preserve">GigaSMART-Filtering feature module license per GigaSMART blade      (not released)                                               </t>
  </si>
  <si>
    <t xml:space="preserve">GigaSMART, GigaVUE-HC1 license combo, includes Slicing, Masking, &amp; Source Port features </t>
  </si>
  <si>
    <t>GigaSMART, GigaVUE-HC1 license, De-Duplication feature</t>
  </si>
  <si>
    <t>GigaSMART, GigaVUE-HC1 license, Header Stripping feature</t>
  </si>
  <si>
    <t>GigaSMART, GigaVUE-HC1 license, Tunneling feature (includes ERSPAN De-Encapsulation)</t>
  </si>
  <si>
    <t xml:space="preserve">GigaSMART, GigaVUE-HC1 license, NetFlow Generation feature </t>
  </si>
  <si>
    <t>GigaSMART, GigaVUE-HC1 license, FlowVUE feature license</t>
  </si>
  <si>
    <t>GigaSMART, GigaVUE-HC1 license, Adaptive Packet Filtering feature</t>
  </si>
  <si>
    <t>GigaSMART, GigaVUE-HC1 license, Application Session Filtering feature license; requires SMT-HC1-APF</t>
  </si>
  <si>
    <t>GigaSMART, GigaVUE-HC1, SSL Decryption for Out of Band Tools Feature License</t>
  </si>
  <si>
    <t xml:space="preserve">GigaSMART, GigaVUE-HC2 rear module (includes Slicing, Masking, Source Port &amp; GigaVUE Tunneling De-Encapsulation SW)               </t>
  </si>
  <si>
    <t>GigaSMART, GigaVUE-HC2, Front Module, 16 10G cages (includes Slicing, Masking, Source Port &amp; GigaVUE Tunneling De-Encapsulation SW)</t>
  </si>
  <si>
    <t xml:space="preserve">GigaSMART, GigaVUE-HC2, De-Duplication feature license per GigaSMART module                      </t>
  </si>
  <si>
    <t>GigaSMART, GigaVUE-HC2, Header Stripping feature license per GigaSMART module</t>
  </si>
  <si>
    <t>GigaSMART, GigaVUE-HC2, Advanced Tunneling feature license per GigaSMART module</t>
  </si>
  <si>
    <t>GigaSMART, GigaVUE-HC2, SSL Decryption for Out of Band Tools Feature License per GigaSMART module</t>
  </si>
  <si>
    <t>GigaSMART, GigaVUE-HC2, SSL Decryption for Inline and Out of Band Tools Feature License per GigaSMART module</t>
  </si>
  <si>
    <t>GigaSMART, GigaVUE-HC2, SSL Decryption Upgrade for Inline Tools Feature License per GigaSMART module</t>
  </si>
  <si>
    <t>GigaSMART, GigaVUE-HC3, De-Duplication feature license per GigaSMART module                     </t>
  </si>
  <si>
    <t>GigaSMART, GigaVUE-HC3, Header Stripping feature license per GigaSMART module</t>
  </si>
  <si>
    <t>GigaSMART, GigaVUE-HC3, Advanced Tunneling feature license per GigaSMART module</t>
  </si>
  <si>
    <t>GigaSMART, GigaVUE-HC3, FlowVUE feature license per GigaSMART module</t>
  </si>
  <si>
    <t>GigaSMART, GigaVUE-HC3, Adaptive Packet Filtering feature license per GigaSMART module</t>
  </si>
  <si>
    <t>GigaSMART, GigaVUE-HC3, Application Session Filtering feature license per GigaSMART module; requires SMT-HC3-APF</t>
  </si>
  <si>
    <t>GigaSMART, GigaVUE-HC3, NetFlow Generation feature license per GigaSMART module</t>
  </si>
  <si>
    <t>GigaSMART, GigaVUE-HC3, SSL Decryption for Out of Band Tools Feature License per GigaSMART module</t>
  </si>
  <si>
    <t>GigaSMART, GigaVUE-HC3, SSL Decryption for Inline and Out of Band Tools Feature License per GigaSMART module</t>
  </si>
  <si>
    <t>GigaSMART, GigaVUE-HC3, GTP Filtering &amp; Correlation feature license per GigaSMART module, Maximum subscribers</t>
  </si>
  <si>
    <t>GigaSMART, GigaVUE-HC2, FlowVUE feature license per GigaSMART module</t>
  </si>
  <si>
    <t>GigaSMART, GigaVUE-HC2, Adaptive Packet Filtering feature license per GigaSMART module</t>
  </si>
  <si>
    <t>GigaSMART, GigaVUE-HC2, Application Session Filtering feature license per GigaSMART module; requires SMT-HC0-APF</t>
  </si>
  <si>
    <t>GigaSMART, GigaVUE-HC2, NetFlow Generation feature license per GigaSMART module</t>
  </si>
  <si>
    <t>GigaSMART, GigaVUE-HC2, GTP Filtering &amp; Correlation feature license per GigaSMART module, 250K subscribers</t>
  </si>
  <si>
    <t>GigaSMART, GigaVUE-HC2, GTP Filtering &amp; Correlation feature license per GigaSMART module, 500K subscribers</t>
  </si>
  <si>
    <t>GigaSMART, GigaVUE-HC2, GTP Filtering &amp; Correlation feature license per GigaSMART module, Maximum subscribers</t>
  </si>
  <si>
    <t>1/2 U chassis, supports 1,2,3,or 4 Dual Optical G-TAP Modules, stand alone chassis, 1/10G</t>
  </si>
  <si>
    <t>Dual optical GigaTAP module, 50/50 Multimode, 850nm, 62.5/125 micron fiber, requires TAP-200 chassis, 1/10G</t>
  </si>
  <si>
    <t>Dual optical GigaTAP module, 50/50 Multimode, 1310nm LRM, requires TAP-200 chassis, 10G (Special Order)</t>
  </si>
  <si>
    <t>Dual optical GigaTAP module, 60/40 Multimode, 850nm, 50/125 micron fiber, requires TAP-200 chassis, 1/10G (Special Order)</t>
  </si>
  <si>
    <t>Dual optical GigaTAP module, 60/40 Multimode, 850nm, 62.5/125 micron fiber, requires TAP-200 chassis, 1/10G (Special Order)</t>
  </si>
  <si>
    <t>Dual optical GigaTAP module, 60/40 Singlemode, 1310/1550nm, requires TAP-200 chassis, 10G (Special Order)</t>
  </si>
  <si>
    <t>Dual optical GigaTAP module, 70/30 Multimode, 850nm, 62.5/125 micron fiber, requires TAP-200 chassis,1G, (nrf 10G)</t>
  </si>
  <si>
    <t>Dual optical GigaTAP module, 70/30 Multimode, 1310nm LRM, requires TAP-200 chassis,10G (Special Order)</t>
  </si>
  <si>
    <t>TAP and Bypass module, GigaVUE-HC1, 10/100/1000M Copper, 4 TAPs or BPC pairs</t>
  </si>
  <si>
    <t>TAP module, GigaVUE-HC2, SX/SR Internal TAP Module 50/125, 12 TAPs</t>
  </si>
  <si>
    <t>TAP module, GigaVUE-HC2, SX/SR Internal TAP Module 62.5/125, 12 TAPs</t>
  </si>
  <si>
    <t>TAP module, GigaVUE-HC2, LX/LR Internal TAP Module, 12 TAPs</t>
  </si>
  <si>
    <t>TAP and Bypass module, GigaVUE-HC2, Copper, 12 TAPs or BPS pairs</t>
  </si>
  <si>
    <t>G-TAP M Series 1 RU chassis. Supports up to 6 M Series TAP modules</t>
  </si>
  <si>
    <t>G-TAP M Series 1/10Gb TAP module, 50/50 Multimode, 850 nm, 50/125 micron fiber, taps 6 1/10G links, requires TAP-M200 chassis</t>
  </si>
  <si>
    <t>G-TAP M Series 1/10Gb TAP module, 70/30 Multimode, 850 nm, 50/125 micron fiber, taps 6 1/10G links, requires TAP-M200 chassis</t>
  </si>
  <si>
    <t>G-TAP M Series 40/100Gb TAP module, 50/50 Multimode, 850 nm, MPO fiber, taps 3 40/100G SR4 links, requires TAP-M200 chassis</t>
  </si>
  <si>
    <t>G-TAP M Series 1/10Gb TAP module, 50/50 Singlemode, 1310/1550 nm, taps 6 1/10G links, requires TAP-M200 chassis</t>
  </si>
  <si>
    <t>G-TAP M Series 1/10Gb TAP module, 70/30 Singlemode, 1310/1550 nm, taps 6 1/10G links, requires TAP-M200 chassis</t>
  </si>
  <si>
    <t>G-TAP M Series 40/100Gb TAP module, 50/50 Singlemode, taps 6 40/100G LR4 links, requires TAP-M200 chassis</t>
  </si>
  <si>
    <t>G-TAP M Series 40/100Gb TAP module, 70/30 Multimode, 850 nm, MPO fiber, taps 3 40/100G SR4 links, requires TAP-M200 chassis</t>
  </si>
  <si>
    <t>G-TAP M Series 100Gb TAP module, 70/30 Multimode, 850 nm, MPO fiber, taps 3 100G SR10 links, requires TAP-M200 chassis</t>
  </si>
  <si>
    <t>G-TAP M Series 40/100Gb TAP module, 70/30 Singlemode, taps 6 40/100G LR4 links, requires TAP-M200 chassis</t>
  </si>
  <si>
    <t>G-TAP M Series BiDi, 50/50 Multimode, taps 4 BiDi links, requires TAP-M200 chassis</t>
  </si>
  <si>
    <t>G-TAP M Series Patch panel, 3xMPO to 12xLC duplex Multimode, requires TAP-M200 chassis</t>
  </si>
  <si>
    <t>Upgrade option for GVS-TAX01A/TAX02A to enable all GigaVUE-TA10 ports (48 10G + 4 40G)</t>
  </si>
  <si>
    <t>Upgrade option to enable 24 GigaVUE-TA100 ports (24 100G)</t>
  </si>
  <si>
    <t>Upgrade option to enable 32 GigaVUE-TA100 ports (32 100G); requires UPG-TAC24</t>
  </si>
  <si>
    <t>15% of Support enabled Product list price</t>
  </si>
  <si>
    <t xml:space="preserve">Remote after hours’ maintenance window assistance for customers with purchased Standard Support contracts.  Four hour increments.  *used within 6 months of services kick off date. </t>
  </si>
  <si>
    <t xml:space="preserve">Remote after hours’ maintenance window assistance for PLUS GSP Partners with purchased Standard Support contracts.  Four hour increments. *used within 6 months of services kick off date.  </t>
  </si>
  <si>
    <t xml:space="preserve">Remote after hours’ maintenance window assistance for PREMIER GSP Partners with purchased Standard Support contracts.  Four hour increments. *used within 6 months of services kick off date. </t>
  </si>
  <si>
    <t xml:space="preserve">Remote after hours’ maintenance window assistance for PROFESSIONAL GSP Partners with purchased Standard Support contracts.  Four hour increments. *used within 6 months of services kick off date. </t>
  </si>
  <si>
    <t>GSP-FYS-BAS-PLS</t>
  </si>
  <si>
    <t>Initial Gigamon PLUS Support Type with BASIC Support Level (8-5,M-F/R&amp;R), bought with product or within 1 year of original purchase of product</t>
  </si>
  <si>
    <t>GSP-FYS-BAS-PMR</t>
  </si>
  <si>
    <t>Initial Gigamon PREMIER Support Type with BASIC Support Level (8-5,M-F/R&amp;R), bought with product or within 1 year of original purchase of product</t>
  </si>
  <si>
    <t>GSP-FYS-BAS-PRO</t>
  </si>
  <si>
    <t>Initial Gigamon PRO Support Type with BASIC Support Level (8-5,M-F/R&amp;R), bought with product or within 1 year of original purchase of product</t>
  </si>
  <si>
    <t>GSP-FYS-ELT-PLS</t>
  </si>
  <si>
    <t>Initial Gigamon PLUS Support Type with ELITE Support Level (24x7/AHR), bought with product or within 1 year of original purchase of product</t>
  </si>
  <si>
    <t>18% of Support enabled Product list price</t>
  </si>
  <si>
    <t>GSP-FYS-ELT-PMR</t>
  </si>
  <si>
    <t>Initial Gigamon PREMIER Support Type with ELITE Support Level (24x7/AHR), bought with product or within 1 year of original purchase of product</t>
  </si>
  <si>
    <t>GSP-FYS-ELT-PRO</t>
  </si>
  <si>
    <t>Initial Gigamon PRO Support Type with ELITE Support Level (24x7/AHR), bought with product or within 1 year of original purchase of product</t>
  </si>
  <si>
    <t>GSP-FYS-ENH-PLS</t>
  </si>
  <si>
    <t>Initial Gigamon PLUS Support Type with Enhanced Support Level (8-5,M-F/AHR), bought with product or within 1 year of original purchase of product</t>
  </si>
  <si>
    <t>GSP-FYS-ENH-PMR</t>
  </si>
  <si>
    <t>Initial Gigamon PREMIER Support Type with Enhanced Support Level (8-5,M-F/AHR), bought with product or within 1 year of original purchase of product</t>
  </si>
  <si>
    <t>GSP-FYS-ENH-PRO</t>
  </si>
  <si>
    <t>Initial Gigamon PRO Support Type with Enhanced Support Level (8-5,M-F/AHR), bought with product or within 1 year of original purchase of product</t>
  </si>
  <si>
    <t>GSP-RNL-BAS-PLS</t>
  </si>
  <si>
    <t>Renewal Gigamon PLUS Support with Basic SLA (8-5,M-F/R&amp;R), purchased &gt;1yr from product ship date</t>
  </si>
  <si>
    <t>12.5% of Support enabled Product list price</t>
  </si>
  <si>
    <t>GSP-RNL-BAS-PMR</t>
  </si>
  <si>
    <t>Renewal Gigamon PREMIER Support with Basic SLA (8-5,M-F/R&amp;R), purchased &gt;1yr from product ship date</t>
  </si>
  <si>
    <t>GSP-RNL-BAS-PRO</t>
  </si>
  <si>
    <t>Renewal Gigamon PRO Support with Basic SLA (8-5,M-F/R&amp;R), purchased &gt;1yr from product ship date</t>
  </si>
  <si>
    <t>GSP-RNL-ELT-PLS</t>
  </si>
  <si>
    <t>Renewal Gigamon PLUS Support with Elite SLA (24x7/AHR), purchased &gt;1yr from product ship date</t>
  </si>
  <si>
    <t>18.5% of Support enabled Product list price</t>
  </si>
  <si>
    <t>GSP-RNL-ELT-PMR</t>
  </si>
  <si>
    <t>Renewal Gigamon PREMIER Support with Elite SLA (24x7/AHR), purchased &gt;1yr from product ship date</t>
  </si>
  <si>
    <t>GSP-RNL-ELT-PRO</t>
  </si>
  <si>
    <t>Renewal Gigamon PRO Support with Elite SLA (24x7/AHR), purchased &gt;1yr from product ship date</t>
  </si>
  <si>
    <t>GSP-RNL-ENH-PLS</t>
  </si>
  <si>
    <t>Renewal Gigamon PLUS Support with Enhanced SLA (8-5,M-F/AHR), purchased &gt;1yr from product ship date</t>
  </si>
  <si>
    <t>15.5% of Support enabled Product list price</t>
  </si>
  <si>
    <t>GSP-RNL-ENH-PMR</t>
  </si>
  <si>
    <t>Renewal Gigamon PREMIER Support with Enhanced SLA (8-5,M-F/AHR), purchased &gt;1yr from product ship date</t>
  </si>
  <si>
    <t>GSP-RNL-ENH-PRO</t>
  </si>
  <si>
    <t>Renewal Gigamon PRO Support with Enhanced SLA (8-5,M-F/AHR), purchased &gt;1yr from product ship date</t>
  </si>
  <si>
    <t>GSP-UPG-B-ELT-PLS</t>
  </si>
  <si>
    <t>Upgrade from Basic to Elite SLA(24X7,AHR)  with PLUS Support Type. Term is always through the existing Basic contract end date.</t>
  </si>
  <si>
    <t>6% of Support enabled Product list price</t>
  </si>
  <si>
    <t>GSP-UPG-B-ELT-PMR</t>
  </si>
  <si>
    <t>Upgrade from Basic to Elite SLA(24X7,AHR) with PREMIER Support Type. Term is always through the existing Basic contract end date.</t>
  </si>
  <si>
    <t>GSP-UPG-B-ELT-PRO</t>
  </si>
  <si>
    <t>Upgrade from Basic to Elite SLA(24X7,AHR) with PROFESSIONAL Support Type. Term always through the existing Basic contract end date.</t>
  </si>
  <si>
    <t>GSP-UPG-B-ENH-PLS</t>
  </si>
  <si>
    <t>Upgrade from Basic to Enhanced SLA(8-5,M-F/AHR) with PLUS Support Type. Term is always through the existing Basic contract end date.</t>
  </si>
  <si>
    <t>3% of Support enabled Product list price</t>
  </si>
  <si>
    <t>GSP-UPG-B-ENH-PMR</t>
  </si>
  <si>
    <t>Upgrade from Basic to Enhanced SLA(8-5,M-F/AHR) with PREMIER Support Type. Term is always through the existing Basic contract end date.</t>
  </si>
  <si>
    <t>GSP-UPG-B-ENH-PRO</t>
  </si>
  <si>
    <t>Upgrade from Basic to Enhanced SLA(8-5,M-F/AHR) with PROFESSIONAL Support Type. Term is always through the existing Basic contract end date.</t>
  </si>
  <si>
    <t>GSP-UPG-E-ELT-PLS</t>
  </si>
  <si>
    <t>Upgrade from Enhanced to Elite SLA(24X7,AHR) with PLUS Support Type. Term is always through the existing Enhanced contract end date.</t>
  </si>
  <si>
    <t>GSP-UPG-E-ELT-PMR</t>
  </si>
  <si>
    <t>Upgrade from Enhanced to Elite SLA(24X7,AHR) with PREMIER Support Type. Term is always through the existing Enhanced contract end date.</t>
  </si>
  <si>
    <t>GSP-UPG-E-ELT-PRO</t>
  </si>
  <si>
    <t>Upgrade from Enhanced to Elite SLA(24X7,AHR) with PROFESSIONAL Support Type. Term is always through the existing Enhanced contract end date.</t>
  </si>
  <si>
    <t>GSP-UPG-S-ELT-PLS</t>
  </si>
  <si>
    <t>Upgrade from Standard to Elite SLA(24X7,AHR) with PLUS Support Type. Term is always through the existing Standard contract end date.</t>
  </si>
  <si>
    <t>GSP-UPG-S-ELT-PMR</t>
  </si>
  <si>
    <t>Upgrade from Standard to Elite SLA(24X7,AHR) with PREMIER Support Type. Term is always through the existing Standard contract end date.</t>
  </si>
  <si>
    <t>GSP-UPG-S-ELT-PRO</t>
  </si>
  <si>
    <t>Upgrade from Standard to Elite SLA(24X7,AHR) with PROFESSIONAL Support Type. Term is always through the existing Standard contract end date.</t>
  </si>
  <si>
    <t>GSS-FYS-BAS-PSS</t>
  </si>
  <si>
    <t>Initial Gigamon Pass-through Support Type with BASIC Support Level (8-5,M-F/R&amp;R), bought with product or within 1 year of original purchase of product</t>
  </si>
  <si>
    <t>GSS-FYS-ELT-PSS</t>
  </si>
  <si>
    <t>Initial Gigamon Pass-through Support Type with ELITE Support Level (24x7/AHR), bought with product or within 1 year of original purchase of product</t>
  </si>
  <si>
    <t>GSS-FYS-ENH-PSS</t>
  </si>
  <si>
    <t>Initial Gigamon Pass-through Support Type with Enhanced Support Level (8-5,M-F/AHR), bought with product or within 1 year of original purchase of product</t>
  </si>
  <si>
    <t>GSS-RNL-BAS-PSS</t>
  </si>
  <si>
    <t>Renewal Gigamon Pass-through Support with Basic SLA (8-5,M-F/R&amp;R), purchased &gt;1yr from product ship date</t>
  </si>
  <si>
    <t>GSS-RNL-ELT-PSS</t>
  </si>
  <si>
    <t>Renewal Gigamon Pass-through Support with Elite SLA (24x7/AHR), purchased &gt;1yr from product ship date</t>
  </si>
  <si>
    <t>GSS-RNL-ENH-PSS</t>
  </si>
  <si>
    <t>Renewal Gigamon Pass-through Support with Enhanced SLA (8-5,M-F/AHR), purchased &gt;1yr from product ship date</t>
  </si>
  <si>
    <t>GSS-UPG-B-ELT-PSS</t>
  </si>
  <si>
    <t>Upgrade from Basic to Elite SLA(24X7,AHR) with Pass-through Support Type. Term is always through the existing Basic contract end date.</t>
  </si>
  <si>
    <t>GSS-UPG-B-ENH-PSS</t>
  </si>
  <si>
    <t>Upgrade from Basic to Enhanced SLA(8-5,M-F/AHR) with Pass-through Support Type. Term is always through the existing Basic contract end date.</t>
  </si>
  <si>
    <t>GSS-UPG-E-ELT-PSS</t>
  </si>
  <si>
    <t>Upgrade from Enhanced to Elite SLA(24X7,AHR) with Pass-through Support Type. Term is always through the existing Enhanced contract end date.</t>
  </si>
  <si>
    <t>GSS-UPG-S-ELT-PSS</t>
  </si>
  <si>
    <t>Upgrade from Standard to Elite SLA(24X7,AHR) with Pass-through Support Type. Term is always through the existing Standard contract end date.</t>
  </si>
  <si>
    <r>
      <t xml:space="preserve">Placeholder SKU for Gigamon PS to review customer request and make recommendation for delivery. </t>
    </r>
    <r>
      <rPr>
        <sz val="8"/>
        <rFont val="Arial"/>
        <family val="2"/>
      </rPr>
      <t>(no price / not bookable)</t>
    </r>
  </si>
  <si>
    <t>GigaSMART, GigaVUE-HC1, SSL Decryption for Inline and Out of Band Tools Feature License</t>
  </si>
  <si>
    <t>Advanced Feature License, GigaVUE-TA200, per node</t>
  </si>
  <si>
    <t>GVS-HC3A1</t>
  </si>
  <si>
    <t>GigaVUE-HC3 base unit w/ chassis, Control Card v2, 5 Fan Modules, CLI,  2 power supplies, AC power </t>
  </si>
  <si>
    <t>GVS-HC3A2</t>
  </si>
  <si>
    <t>GigaVUE-HC3 base unit w/ chassis, Control Card v2, 5 Fan Modules, CLI,  2 power supplies, DC power </t>
  </si>
  <si>
    <t>CTL-HC3-002</t>
  </si>
  <si>
    <t>Control Card Version 2, GigaVUE-HC3, each</t>
  </si>
  <si>
    <t>PRT-HC3-C16</t>
  </si>
  <si>
    <t>DISTI</t>
  </si>
  <si>
    <t>What Support Level (Standard or Premium)?</t>
  </si>
  <si>
    <t>Is this An Upgrade to Premium Order after initial Purchase or Renewal?</t>
  </si>
  <si>
    <t>This is only needed if the provider of support is other than gigamon</t>
  </si>
  <si>
    <t>Number of Months</t>
  </si>
  <si>
    <t xml:space="preserve">·       Multi-Year Allowance is optional for customers purchasing 3 or more years of service.  The allowance is calculated off of the Service Net Price to the VAR level. </t>
  </si>
  <si>
    <t>GES-ILT-FDN</t>
  </si>
  <si>
    <t xml:space="preserve">GES-DELE-23 </t>
  </si>
  <si>
    <t>GES-DELE-45</t>
  </si>
  <si>
    <t>GES-ILO-OS1</t>
  </si>
  <si>
    <t>GES-ILO-OS2</t>
  </si>
  <si>
    <t>GES-ILO-OS3</t>
  </si>
  <si>
    <t>GES-ILO-OS4</t>
  </si>
  <si>
    <t>GES-ILO-OS5</t>
  </si>
  <si>
    <t>Single seat–Gigamon Inline Bypass Course Public class(2-days) w/hands-on labs. In person/remote attendance </t>
  </si>
  <si>
    <t>Single seat - Gigamon Foundation Course Public class (2-days) w/hands-on labs. In person/remote attendance. </t>
  </si>
  <si>
    <t>2 days - up to 8 seats Private class w/hands-on labs. Includes instructor T&amp;E. Venue provided by customer. </t>
  </si>
  <si>
    <t>3 days - up to 8 seats Private class w/hands-on labs. Includes instructor T&amp;E. Venue provided by customer. </t>
  </si>
  <si>
    <t>4 days - up to 8 seats Private class w/hands-on labs. Includes instructor T&amp;E. Venue provided by customer. </t>
  </si>
  <si>
    <t>5 days - up to 8 seats Private class w/hands-on labs. Includes instructor T&amp;E. Venue provided by customer. </t>
  </si>
  <si>
    <t>Each additional seat for a 2 or 3-day Private class (above 8 seats to maximum of 16 total seats) </t>
  </si>
  <si>
    <t>Each additional seat for a 4 or 5-day Private class (above 8 seats to maximum of 16 total seats) </t>
  </si>
  <si>
    <t>1 day / up to 8 seats Private class w/hands-on labs. Remote attendance only. </t>
  </si>
  <si>
    <t>2 days - up to 8 seats Private class w/hands-on labs. Remote attendance only.</t>
  </si>
  <si>
    <t>3 days - up to 8 seats Private class w/hands-on labs. Remote attendance only. </t>
  </si>
  <si>
    <t>4 days - up to 8 seats Private class w/hands-on labs. Remote attendance only. </t>
  </si>
  <si>
    <t>5 days - up to 8 seats Private class w/hands-on labs. Remote attendance only. </t>
  </si>
  <si>
    <t>Single seat - GCP Boot Camp Public class (5-days) w/hands-on labs. In person or remote attendance</t>
  </si>
  <si>
    <t>Port Module, GigaVUE-HC3, 16x100G QSFP28 cages.  Requires Control Card Version 2</t>
  </si>
  <si>
    <t>QSB-512</t>
  </si>
  <si>
    <t>100 Gig QSFP28 BiDi, Multimode SR, Full Duplex</t>
  </si>
  <si>
    <t>SFP-5FX</t>
  </si>
  <si>
    <t>SFP-531</t>
  </si>
  <si>
    <t>QSF-507</t>
  </si>
  <si>
    <t>Q28-504</t>
  </si>
  <si>
    <t>Q28-506</t>
  </si>
  <si>
    <t>SFP-552</t>
  </si>
  <si>
    <t>SFP-553</t>
  </si>
  <si>
    <t>PCD-00021</t>
  </si>
  <si>
    <t>PCD-00031</t>
  </si>
  <si>
    <t>PCD-00041</t>
  </si>
  <si>
    <t>ACC-HC2-FIPS</t>
  </si>
  <si>
    <t>FIPS 140 accessory kit for GigaVUE-HC2</t>
  </si>
  <si>
    <t>Spare Power Cord, 7A/125VAC, UL &amp; PSE Approved, 18AWG, 6’ (Recommended for GigaVUE-TA1/TA10/TA40 and GigaVUE-HC1)</t>
  </si>
  <si>
    <t>Spare Power Cord, 12A/125VAC, UL &amp; PSE Approved, 16AWG, 6’ (Recommended for GigaVUE-TA100)</t>
  </si>
  <si>
    <t>Spare Power Cord, 15A/125VAC, UL &amp; PSE Approved, 14AWG, 6’ (Recommended for GigaVUE-TA200 and GigaVUE-HC2/HC3)</t>
  </si>
  <si>
    <t>10 Gig SFP+, Copper 10GBASE-T, RJ45 interface</t>
  </si>
  <si>
    <t>100Mb SFP, Multimode 1300nm 100BASE-FX</t>
  </si>
  <si>
    <t>40 Gig QSFP+, Multimode SR4 Extended Reach</t>
  </si>
  <si>
    <t>100 Gig QSFP+, Singlemode ER4-lite</t>
  </si>
  <si>
    <t>100 Gig QSFP28, Singlemode PLR4 2km</t>
  </si>
  <si>
    <t>25 Gig SFP28, Singlemode 1310nm LR</t>
  </si>
  <si>
    <t>25 Gig SFP28, Multimode 850nm SR</t>
  </si>
  <si>
    <t>GPS-PSO-TEX</t>
  </si>
  <si>
    <t>Travel and Expenses SKU for invoicing only.</t>
  </si>
  <si>
    <t>Actual expense</t>
  </si>
  <si>
    <t>Monthly Term license for traffic visilbility up to 100 virtual TAP Points in Azure. Min Term is 3 months. Includes Elite Support</t>
  </si>
  <si>
    <t>Monthly Term license for traffic visilbility up to 1000 virtual TAP Points in Azure. Min Term is 3 months. Includes Elite Support</t>
  </si>
  <si>
    <t>Monthly Term license for traffic visibility up to 1000 virtual TAP Points in AWS. Min Term is 3 months. Includes bundled Elite Support</t>
  </si>
  <si>
    <t>Monthly Term license for traffic visibility up to 100 virtual TAP Points in AWS. Min Term is 3 months. Includes bundled Elite Support</t>
  </si>
  <si>
    <t>Price to DIR</t>
  </si>
  <si>
    <t>1%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</si>
</sst>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00_-;\-&quot;£&quot;* #,##0.00_-;_-&quot;£&quot;* &quot;-&quot;??_-;_-@_-"/>
  </numFmts>
  <fonts count="30" x14ac:knownFonts="1">
    <font>
      <sz val="10"/>
      <name val="Arial"/>
    </font>
    <font>
      <sz val="10"/>
      <name val="Arial"/>
      <family val="2"/>
    </font>
    <font>
      <sz val="10"/>
      <name val="Arial"/>
      <family val="2"/>
    </font>
    <font>
      <sz val="10"/>
      <color indexed="10"/>
      <name val="Arial"/>
      <family val="2"/>
    </font>
    <font>
      <sz val="8"/>
      <name val="Arial"/>
      <family val="2"/>
    </font>
    <font>
      <b/>
      <sz val="8"/>
      <name val="Arial"/>
      <family val="2"/>
    </font>
    <font>
      <b/>
      <sz val="11"/>
      <name val="Arial"/>
      <family val="2"/>
    </font>
    <font>
      <sz val="12"/>
      <name val="Arial"/>
      <family val="2"/>
    </font>
    <font>
      <b/>
      <i/>
      <sz val="12"/>
      <name val="Arial"/>
      <family val="2"/>
    </font>
    <font>
      <b/>
      <sz val="12"/>
      <name val="Arial"/>
      <family val="2"/>
    </font>
    <font>
      <sz val="14"/>
      <name val="Arial"/>
      <family val="2"/>
    </font>
    <font>
      <b/>
      <i/>
      <sz val="14"/>
      <name val="Arial"/>
      <family val="2"/>
    </font>
    <font>
      <b/>
      <sz val="14"/>
      <name val="Arial"/>
      <family val="2"/>
    </font>
    <font>
      <b/>
      <sz val="16"/>
      <name val="Arial"/>
      <family val="2"/>
    </font>
    <font>
      <b/>
      <i/>
      <u/>
      <sz val="14"/>
      <name val="Arial"/>
      <family val="2"/>
    </font>
    <font>
      <b/>
      <i/>
      <sz val="16"/>
      <name val="Arial"/>
      <family val="2"/>
    </font>
    <font>
      <sz val="16"/>
      <name val="Arial"/>
      <family val="2"/>
    </font>
    <font>
      <b/>
      <i/>
      <u/>
      <sz val="12"/>
      <color indexed="10"/>
      <name val="Arial"/>
      <family val="2"/>
    </font>
    <font>
      <b/>
      <sz val="12"/>
      <color indexed="10"/>
      <name val="Arial"/>
      <family val="2"/>
    </font>
    <font>
      <b/>
      <i/>
      <sz val="28"/>
      <name val="Arial"/>
      <family val="2"/>
    </font>
    <font>
      <sz val="28"/>
      <name val="Arial"/>
      <family val="2"/>
    </font>
    <font>
      <b/>
      <sz val="10"/>
      <name val="Arial"/>
      <family val="2"/>
    </font>
    <font>
      <b/>
      <sz val="11"/>
      <name val="Cambria"/>
      <family val="1"/>
      <scheme val="major"/>
    </font>
    <font>
      <b/>
      <sz val="16"/>
      <color rgb="FFFF0000"/>
      <name val="Arial"/>
      <family val="2"/>
    </font>
    <font>
      <b/>
      <sz val="12"/>
      <color rgb="FFFF0000"/>
      <name val="Arial"/>
      <family val="2"/>
    </font>
    <font>
      <sz val="8"/>
      <color rgb="FF000000"/>
      <name val="Arial"/>
      <family val="2"/>
    </font>
    <font>
      <sz val="24"/>
      <color rgb="FFFF0000"/>
      <name val="Arial"/>
      <family val="2"/>
    </font>
    <font>
      <sz val="10"/>
      <color theme="0"/>
      <name val="Arial"/>
      <family val="2"/>
    </font>
    <font>
      <b/>
      <sz val="16"/>
      <name val="Cambria"/>
      <family val="1"/>
      <scheme val="major"/>
    </font>
    <font>
      <b/>
      <sz val="14"/>
      <name val="Cambria"/>
      <family val="1"/>
      <scheme val="major"/>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cellStyleXfs>
  <cellXfs count="139">
    <xf numFmtId="0" fontId="0" fillId="0" borderId="0" xfId="0"/>
    <xf numFmtId="0" fontId="7" fillId="0" borderId="3" xfId="0" applyFont="1" applyBorder="1" applyAlignment="1" applyProtection="1">
      <alignment horizontal="left" vertical="center" wrapText="1"/>
      <protection hidden="1"/>
    </xf>
    <xf numFmtId="44" fontId="7" fillId="0" borderId="3" xfId="0" applyNumberFormat="1" applyFont="1" applyBorder="1" applyAlignment="1" applyProtection="1">
      <alignment horizontal="center" vertical="center"/>
      <protection hidden="1"/>
    </xf>
    <xf numFmtId="44" fontId="7" fillId="6" borderId="3" xfId="0" applyNumberFormat="1" applyFont="1" applyFill="1" applyBorder="1" applyAlignment="1" applyProtection="1">
      <alignment horizontal="center" vertical="center"/>
      <protection hidden="1"/>
    </xf>
    <xf numFmtId="0" fontId="22" fillId="7" borderId="1"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0" borderId="0" xfId="0" applyFont="1" applyAlignment="1">
      <alignment horizontal="center" vertical="center" wrapText="1"/>
    </xf>
    <xf numFmtId="164" fontId="7" fillId="0" borderId="3" xfId="1" applyNumberFormat="1" applyFont="1" applyBorder="1" applyAlignment="1" applyProtection="1">
      <alignment horizontal="left" vertical="center" indent="1"/>
      <protection hidden="1"/>
    </xf>
    <xf numFmtId="0" fontId="0" fillId="0" borderId="0" xfId="0" applyProtection="1">
      <protection locked="0"/>
    </xf>
    <xf numFmtId="0" fontId="0" fillId="5" borderId="0" xfId="0" applyFill="1" applyProtection="1">
      <protection locked="0"/>
    </xf>
    <xf numFmtId="0" fontId="4" fillId="0" borderId="0" xfId="0" applyFont="1" applyProtection="1">
      <protection locked="0"/>
    </xf>
    <xf numFmtId="0" fontId="1" fillId="0" borderId="0" xfId="0" applyFont="1" applyProtection="1">
      <protection locked="0"/>
    </xf>
    <xf numFmtId="0" fontId="10" fillId="8" borderId="0" xfId="0" applyFont="1" applyFill="1" applyProtection="1">
      <protection hidden="1"/>
    </xf>
    <xf numFmtId="0" fontId="10" fillId="9" borderId="1" xfId="0" applyFont="1" applyFill="1" applyBorder="1" applyProtection="1">
      <protection hidden="1"/>
    </xf>
    <xf numFmtId="0" fontId="10" fillId="10" borderId="4" xfId="0" applyFont="1" applyFill="1" applyBorder="1" applyProtection="1">
      <protection hidden="1"/>
    </xf>
    <xf numFmtId="44" fontId="10" fillId="11" borderId="1" xfId="0" applyNumberFormat="1" applyFont="1" applyFill="1" applyBorder="1" applyProtection="1">
      <protection hidden="1"/>
    </xf>
    <xf numFmtId="0" fontId="10" fillId="9" borderId="4" xfId="0" applyFont="1" applyFill="1" applyBorder="1" applyProtection="1">
      <protection hidden="1"/>
    </xf>
    <xf numFmtId="44" fontId="10" fillId="6" borderId="1" xfId="0" applyNumberFormat="1" applyFont="1" applyFill="1" applyBorder="1" applyProtection="1">
      <protection hidden="1"/>
    </xf>
    <xf numFmtId="0" fontId="10" fillId="10" borderId="5" xfId="0" applyFont="1" applyFill="1" applyBorder="1" applyProtection="1">
      <protection hidden="1"/>
    </xf>
    <xf numFmtId="44" fontId="10" fillId="6" borderId="2" xfId="0" applyNumberFormat="1" applyFont="1" applyFill="1" applyBorder="1" applyProtection="1">
      <protection hidden="1"/>
    </xf>
    <xf numFmtId="0" fontId="10" fillId="9" borderId="5" xfId="0" applyFont="1" applyFill="1" applyBorder="1" applyProtection="1">
      <protection hidden="1"/>
    </xf>
    <xf numFmtId="44" fontId="10" fillId="11" borderId="2" xfId="0" applyNumberFormat="1" applyFont="1" applyFill="1" applyBorder="1" applyProtection="1">
      <protection hidden="1"/>
    </xf>
    <xf numFmtId="0" fontId="11" fillId="3" borderId="6" xfId="0" applyFont="1" applyFill="1" applyBorder="1" applyProtection="1">
      <protection hidden="1"/>
    </xf>
    <xf numFmtId="44" fontId="10" fillId="0" borderId="6" xfId="0" applyNumberFormat="1" applyFont="1" applyBorder="1" applyProtection="1">
      <protection hidden="1"/>
    </xf>
    <xf numFmtId="0" fontId="14" fillId="12" borderId="6" xfId="0" applyFont="1" applyFill="1" applyBorder="1" applyProtection="1">
      <protection hidden="1"/>
    </xf>
    <xf numFmtId="44" fontId="10" fillId="11" borderId="6" xfId="0" applyNumberFormat="1" applyFont="1" applyFill="1" applyBorder="1" applyProtection="1">
      <protection hidden="1"/>
    </xf>
    <xf numFmtId="0" fontId="10" fillId="0" borderId="0" xfId="0" applyFont="1" applyProtection="1">
      <protection hidden="1"/>
    </xf>
    <xf numFmtId="0" fontId="0" fillId="0" borderId="0" xfId="0" applyProtection="1">
      <protection hidden="1"/>
    </xf>
    <xf numFmtId="0" fontId="9" fillId="13" borderId="1" xfId="0" applyFont="1" applyFill="1" applyBorder="1" applyAlignment="1" applyProtection="1">
      <alignment wrapText="1"/>
      <protection hidden="1"/>
    </xf>
    <xf numFmtId="0" fontId="13" fillId="2" borderId="2" xfId="0" applyFont="1" applyFill="1" applyBorder="1" applyAlignment="1" applyProtection="1">
      <alignment horizontal="center" wrapText="1"/>
      <protection hidden="1"/>
    </xf>
    <xf numFmtId="0" fontId="23" fillId="2" borderId="1" xfId="0" applyFont="1" applyFill="1" applyBorder="1" applyAlignment="1" applyProtection="1">
      <alignment horizontal="center" wrapText="1"/>
      <protection hidden="1"/>
    </xf>
    <xf numFmtId="0" fontId="24" fillId="2" borderId="1" xfId="0" applyFont="1" applyFill="1" applyBorder="1" applyAlignment="1" applyProtection="1">
      <alignment horizontal="center" wrapText="1"/>
      <protection hidden="1"/>
    </xf>
    <xf numFmtId="0" fontId="8" fillId="11" borderId="1" xfId="0" applyFont="1" applyFill="1" applyBorder="1" applyAlignment="1" applyProtection="1">
      <alignment horizontal="center"/>
      <protection locked="0" hidden="1"/>
    </xf>
    <xf numFmtId="0" fontId="9" fillId="11" borderId="1" xfId="0" applyFont="1" applyFill="1" applyBorder="1" applyAlignment="1" applyProtection="1">
      <alignment horizontal="center" wrapText="1"/>
      <protection locked="0" hidden="1"/>
    </xf>
    <xf numFmtId="1" fontId="9" fillId="11" borderId="1" xfId="0" applyNumberFormat="1" applyFont="1" applyFill="1" applyBorder="1" applyAlignment="1" applyProtection="1">
      <alignment horizontal="center"/>
      <protection locked="0" hidden="1"/>
    </xf>
    <xf numFmtId="44" fontId="7" fillId="0" borderId="3" xfId="2" applyFont="1" applyBorder="1" applyAlignment="1" applyProtection="1">
      <alignment horizontal="left" vertical="center" indent="1"/>
      <protection hidden="1"/>
    </xf>
    <xf numFmtId="0" fontId="10" fillId="14" borderId="8" xfId="0" applyFont="1" applyFill="1" applyBorder="1" applyProtection="1">
      <protection hidden="1"/>
    </xf>
    <xf numFmtId="0" fontId="10" fillId="14" borderId="9" xfId="0" applyFont="1" applyFill="1" applyBorder="1" applyProtection="1">
      <protection hidden="1"/>
    </xf>
    <xf numFmtId="0" fontId="7" fillId="0" borderId="3" xfId="0" applyFont="1" applyBorder="1" applyAlignment="1" applyProtection="1">
      <alignment horizontal="center" vertical="center" wrapText="1"/>
      <protection hidden="1"/>
    </xf>
    <xf numFmtId="44" fontId="0" fillId="0" borderId="0" xfId="0" applyNumberFormat="1" applyProtection="1">
      <protection locked="0"/>
    </xf>
    <xf numFmtId="9" fontId="7" fillId="5" borderId="3" xfId="9" applyFont="1" applyFill="1" applyBorder="1" applyAlignment="1" applyProtection="1">
      <alignment horizontal="center" vertical="center" wrapText="1"/>
      <protection hidden="1"/>
    </xf>
    <xf numFmtId="43" fontId="0" fillId="0" borderId="0" xfId="0" applyNumberFormat="1" applyProtection="1">
      <protection locked="0"/>
    </xf>
    <xf numFmtId="0" fontId="24" fillId="11" borderId="1" xfId="0" applyFont="1" applyFill="1" applyBorder="1" applyAlignment="1" applyProtection="1">
      <alignment horizontal="center" wrapText="1"/>
      <protection hidden="1"/>
    </xf>
    <xf numFmtId="0" fontId="9" fillId="15" borderId="1" xfId="0" applyFont="1" applyFill="1" applyBorder="1" applyAlignment="1" applyProtection="1">
      <alignment horizontal="center" wrapText="1"/>
      <protection hidden="1"/>
    </xf>
    <xf numFmtId="44" fontId="7" fillId="5" borderId="3" xfId="0" applyNumberFormat="1" applyFont="1" applyFill="1" applyBorder="1" applyAlignment="1" applyProtection="1">
      <alignment horizontal="center" vertical="center" wrapText="1"/>
      <protection hidden="1"/>
    </xf>
    <xf numFmtId="0" fontId="0" fillId="4" borderId="0" xfId="0" applyFill="1" applyAlignment="1" applyProtection="1">
      <alignment horizontal="center"/>
      <protection locked="0"/>
    </xf>
    <xf numFmtId="0" fontId="7" fillId="2" borderId="3" xfId="0" applyFont="1" applyFill="1" applyBorder="1" applyAlignment="1" applyProtection="1">
      <alignment horizontal="left" vertical="center" wrapText="1"/>
      <protection hidden="1"/>
    </xf>
    <xf numFmtId="44" fontId="7" fillId="2" borderId="3" xfId="0" applyNumberFormat="1" applyFont="1" applyFill="1" applyBorder="1" applyAlignment="1" applyProtection="1">
      <alignment horizontal="center" vertical="center"/>
      <protection hidden="1"/>
    </xf>
    <xf numFmtId="164" fontId="7" fillId="2" borderId="3" xfId="1" applyNumberFormat="1" applyFont="1" applyFill="1" applyBorder="1" applyAlignment="1" applyProtection="1">
      <alignment horizontal="left" vertical="center" indent="1"/>
      <protection hidden="1"/>
    </xf>
    <xf numFmtId="44" fontId="7" fillId="2" borderId="3" xfId="2" applyFont="1" applyFill="1" applyBorder="1" applyAlignment="1" applyProtection="1">
      <alignment horizontal="left" vertical="center" indent="1"/>
      <protection hidden="1"/>
    </xf>
    <xf numFmtId="0" fontId="13" fillId="2" borderId="3" xfId="0" applyFont="1" applyFill="1" applyBorder="1" applyAlignment="1" applyProtection="1">
      <alignment horizontal="center" vertical="center" wrapText="1"/>
      <protection hidden="1"/>
    </xf>
    <xf numFmtId="9" fontId="12" fillId="2" borderId="3" xfId="9" applyFont="1" applyFill="1" applyBorder="1" applyAlignment="1" applyProtection="1">
      <alignment horizontal="center" vertical="center" wrapText="1"/>
      <protection hidden="1"/>
    </xf>
    <xf numFmtId="9" fontId="12" fillId="6" borderId="3" xfId="9" applyFont="1" applyFill="1" applyBorder="1" applyAlignment="1" applyProtection="1">
      <alignment horizontal="center" vertical="center" wrapText="1"/>
      <protection hidden="1"/>
    </xf>
    <xf numFmtId="9" fontId="12" fillId="6" borderId="3" xfId="9" applyFont="1" applyFill="1" applyBorder="1" applyAlignment="1" applyProtection="1">
      <alignment horizontal="center" vertical="center"/>
      <protection hidden="1"/>
    </xf>
    <xf numFmtId="10" fontId="12" fillId="16" borderId="3" xfId="9" applyNumberFormat="1" applyFont="1" applyFill="1" applyBorder="1" applyAlignment="1" applyProtection="1">
      <alignment horizontal="center" vertical="center"/>
      <protection hidden="1"/>
    </xf>
    <xf numFmtId="43" fontId="7" fillId="5" borderId="3" xfId="1" applyFont="1" applyFill="1" applyBorder="1" applyAlignment="1" applyProtection="1">
      <alignment horizontal="center" vertical="center" wrapText="1"/>
      <protection hidden="1"/>
    </xf>
    <xf numFmtId="43" fontId="7" fillId="5" borderId="3" xfId="1" applyFont="1" applyFill="1" applyBorder="1" applyAlignment="1" applyProtection="1">
      <alignment horizontal="center" vertical="center"/>
      <protection hidden="1"/>
    </xf>
    <xf numFmtId="43" fontId="7" fillId="11" borderId="3" xfId="0" applyNumberFormat="1" applyFont="1" applyFill="1" applyBorder="1" applyAlignment="1" applyProtection="1">
      <alignment horizontal="center" vertical="center"/>
      <protection hidden="1"/>
    </xf>
    <xf numFmtId="44" fontId="7" fillId="5" borderId="3" xfId="1" applyNumberFormat="1" applyFont="1" applyFill="1" applyBorder="1" applyAlignment="1" applyProtection="1">
      <alignment horizontal="center" vertical="center"/>
      <protection hidden="1"/>
    </xf>
    <xf numFmtId="10" fontId="12" fillId="2" borderId="3" xfId="9" applyNumberFormat="1" applyFont="1" applyFill="1" applyBorder="1" applyAlignment="1" applyProtection="1">
      <alignment horizontal="center" vertical="center"/>
      <protection hidden="1"/>
    </xf>
    <xf numFmtId="10" fontId="12" fillId="2" borderId="3" xfId="9" applyNumberFormat="1" applyFont="1" applyFill="1" applyBorder="1" applyAlignment="1" applyProtection="1">
      <alignment horizontal="center" vertical="center" wrapText="1"/>
      <protection hidden="1"/>
    </xf>
    <xf numFmtId="0" fontId="4" fillId="0" borderId="1" xfId="7" applyFont="1" applyBorder="1" applyAlignment="1">
      <alignment vertical="center" wrapText="1"/>
    </xf>
    <xf numFmtId="0" fontId="4" fillId="0" borderId="0" xfId="0" applyFont="1" applyAlignment="1">
      <alignment vertical="center" wrapText="1"/>
    </xf>
    <xf numFmtId="0" fontId="4" fillId="5" borderId="1" xfId="0" applyFont="1" applyFill="1" applyBorder="1" applyAlignment="1">
      <alignment vertical="center" wrapText="1"/>
    </xf>
    <xf numFmtId="0" fontId="4" fillId="0" borderId="1" xfId="0" applyFont="1" applyBorder="1" applyAlignment="1">
      <alignment vertical="center" wrapText="1"/>
    </xf>
    <xf numFmtId="0" fontId="6" fillId="5" borderId="0" xfId="0" applyFont="1" applyFill="1" applyAlignment="1">
      <alignment vertical="center" wrapText="1"/>
    </xf>
    <xf numFmtId="0" fontId="6" fillId="0" borderId="0" xfId="0" applyFont="1" applyAlignment="1">
      <alignment vertical="center" wrapText="1"/>
    </xf>
    <xf numFmtId="0" fontId="0" fillId="5" borderId="1" xfId="0" applyFill="1" applyBorder="1" applyAlignment="1">
      <alignment vertical="center" wrapText="1"/>
    </xf>
    <xf numFmtId="0" fontId="0" fillId="5" borderId="0" xfId="0" applyFill="1" applyAlignment="1">
      <alignment vertical="center" wrapText="1"/>
    </xf>
    <xf numFmtId="0" fontId="0" fillId="0" borderId="0" xfId="0" applyAlignment="1">
      <alignment vertical="center" wrapText="1"/>
    </xf>
    <xf numFmtId="0" fontId="25" fillId="5" borderId="1" xfId="0" applyFont="1" applyFill="1" applyBorder="1" applyAlignment="1">
      <alignment vertical="center" wrapText="1"/>
    </xf>
    <xf numFmtId="49" fontId="4" fillId="0" borderId="1" xfId="0" applyNumberFormat="1" applyFont="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0" fillId="0" borderId="0" xfId="0" applyAlignment="1">
      <alignment horizontal="left" vertical="center" wrapText="1"/>
    </xf>
    <xf numFmtId="0" fontId="25" fillId="0" borderId="1" xfId="0" applyFont="1" applyBorder="1" applyAlignment="1">
      <alignment vertical="center" wrapText="1"/>
    </xf>
    <xf numFmtId="44" fontId="4" fillId="5" borderId="1" xfId="4" applyFont="1" applyFill="1" applyBorder="1" applyAlignment="1">
      <alignment vertical="center" wrapText="1"/>
    </xf>
    <xf numFmtId="0" fontId="1" fillId="5" borderId="0" xfId="0" applyFont="1" applyFill="1" applyAlignment="1">
      <alignment vertical="center" wrapText="1"/>
    </xf>
    <xf numFmtId="0" fontId="1" fillId="0" borderId="0" xfId="0" applyFont="1" applyAlignment="1">
      <alignment vertical="center" wrapText="1"/>
    </xf>
    <xf numFmtId="0" fontId="10" fillId="17" borderId="4" xfId="0" applyFont="1" applyFill="1" applyBorder="1" applyProtection="1">
      <protection hidden="1"/>
    </xf>
    <xf numFmtId="44" fontId="10" fillId="0" borderId="0" xfId="0" applyNumberFormat="1" applyFont="1" applyProtection="1">
      <protection hidden="1"/>
    </xf>
    <xf numFmtId="0" fontId="11" fillId="18" borderId="6" xfId="0" applyFont="1" applyFill="1" applyBorder="1" applyAlignment="1" applyProtection="1">
      <alignment wrapText="1"/>
      <protection hidden="1"/>
    </xf>
    <xf numFmtId="0" fontId="11" fillId="0" borderId="0" xfId="0" applyFont="1" applyProtection="1">
      <protection hidden="1"/>
    </xf>
    <xf numFmtId="0" fontId="21" fillId="0" borderId="0" xfId="0" applyFont="1" applyProtection="1">
      <protection locked="0"/>
    </xf>
    <xf numFmtId="0" fontId="12" fillId="0" borderId="10" xfId="0" applyFont="1" applyBorder="1" applyAlignment="1" applyProtection="1">
      <alignment horizontal="left" vertical="center"/>
      <protection locked="0"/>
    </xf>
    <xf numFmtId="10" fontId="9" fillId="11" borderId="1" xfId="0" applyNumberFormat="1" applyFont="1" applyFill="1" applyBorder="1" applyAlignment="1" applyProtection="1">
      <alignment horizontal="center"/>
      <protection locked="0" hidden="1"/>
    </xf>
    <xf numFmtId="0" fontId="26" fillId="0" borderId="0" xfId="0" applyFont="1" applyProtection="1">
      <protection locked="0"/>
    </xf>
    <xf numFmtId="10" fontId="12" fillId="16" borderId="3" xfId="9" applyNumberFormat="1" applyFont="1" applyFill="1" applyBorder="1" applyAlignment="1" applyProtection="1">
      <alignment horizontal="center" vertical="center" wrapText="1"/>
      <protection hidden="1"/>
    </xf>
    <xf numFmtId="44" fontId="7" fillId="11" borderId="3" xfId="0" applyNumberFormat="1" applyFont="1" applyFill="1" applyBorder="1" applyAlignment="1" applyProtection="1">
      <alignment horizontal="center" vertical="center" wrapText="1"/>
      <protection hidden="1"/>
    </xf>
    <xf numFmtId="0" fontId="1" fillId="0" borderId="0" xfId="0" applyFont="1"/>
    <xf numFmtId="0" fontId="21" fillId="0" borderId="0" xfId="0" applyFont="1" applyAlignment="1">
      <alignment wrapText="1"/>
    </xf>
    <xf numFmtId="43" fontId="1" fillId="0" borderId="0" xfId="0" applyNumberFormat="1" applyFont="1" applyProtection="1">
      <protection locked="0"/>
    </xf>
    <xf numFmtId="0" fontId="27" fillId="0" borderId="0" xfId="0" applyFont="1" applyProtection="1">
      <protection hidden="1"/>
    </xf>
    <xf numFmtId="0" fontId="27" fillId="0" borderId="0" xfId="0" applyFont="1" applyAlignment="1" applyProtection="1">
      <alignment wrapText="1"/>
      <protection hidden="1"/>
    </xf>
    <xf numFmtId="0" fontId="4" fillId="0" borderId="1" xfId="0" applyFont="1" applyFill="1" applyBorder="1" applyAlignment="1">
      <alignment vertical="center" wrapText="1"/>
    </xf>
    <xf numFmtId="0" fontId="4" fillId="0" borderId="1" xfId="7" applyFont="1" applyFill="1" applyBorder="1" applyAlignment="1">
      <alignment vertical="center" wrapText="1"/>
    </xf>
    <xf numFmtId="0" fontId="0" fillId="0" borderId="0" xfId="0" applyFill="1" applyAlignment="1">
      <alignment vertical="center" wrapText="1"/>
    </xf>
    <xf numFmtId="0" fontId="5" fillId="0" borderId="1" xfId="7" applyFont="1" applyFill="1" applyBorder="1" applyAlignment="1">
      <alignment vertical="center" wrapText="1"/>
    </xf>
    <xf numFmtId="44" fontId="4" fillId="0" borderId="1" xfId="4" applyFont="1" applyFill="1" applyBorder="1" applyAlignment="1">
      <alignment vertical="center" wrapText="1"/>
    </xf>
    <xf numFmtId="0" fontId="4" fillId="0" borderId="2" xfId="0" applyFont="1" applyFill="1" applyBorder="1" applyAlignment="1">
      <alignment vertical="center" wrapText="1"/>
    </xf>
    <xf numFmtId="0" fontId="4" fillId="0" borderId="2" xfId="7"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pplyProtection="1">
      <alignment vertical="center" wrapText="1"/>
      <protection locked="0"/>
    </xf>
    <xf numFmtId="44" fontId="4" fillId="0" borderId="1" xfId="0" applyNumberFormat="1"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44" fontId="4" fillId="0" borderId="1" xfId="0" applyNumberFormat="1" applyFont="1" applyFill="1" applyBorder="1" applyAlignment="1">
      <alignment vertical="center" wrapText="1"/>
    </xf>
    <xf numFmtId="0" fontId="4" fillId="0" borderId="0" xfId="0" applyFont="1" applyFill="1" applyBorder="1" applyAlignment="1">
      <alignment vertical="center" wrapText="1"/>
    </xf>
    <xf numFmtId="44" fontId="4" fillId="0" borderId="0" xfId="0" applyNumberFormat="1" applyFont="1" applyFill="1" applyBorder="1" applyAlignment="1">
      <alignment vertical="center" wrapText="1"/>
    </xf>
    <xf numFmtId="44" fontId="22" fillId="7" borderId="1" xfId="3" applyNumberFormat="1" applyFont="1" applyFill="1" applyBorder="1" applyAlignment="1">
      <alignment horizontal="center" vertical="center" wrapText="1"/>
    </xf>
    <xf numFmtId="44" fontId="4" fillId="0" borderId="1" xfId="4" applyNumberFormat="1" applyFont="1" applyBorder="1" applyAlignment="1">
      <alignment vertical="center" wrapText="1"/>
    </xf>
    <xf numFmtId="44" fontId="4" fillId="5" borderId="1" xfId="4" applyNumberFormat="1" applyFont="1" applyFill="1" applyBorder="1" applyAlignment="1">
      <alignment vertical="center" wrapText="1"/>
    </xf>
    <xf numFmtId="44" fontId="4" fillId="0" borderId="1" xfId="4" applyNumberFormat="1" applyFont="1" applyBorder="1" applyAlignment="1">
      <alignment horizontal="center" vertical="center" wrapText="1"/>
    </xf>
    <xf numFmtId="44" fontId="4" fillId="0" borderId="1" xfId="4" applyNumberFormat="1" applyFont="1" applyFill="1" applyBorder="1" applyAlignment="1">
      <alignment horizontal="center" vertical="center" wrapText="1"/>
    </xf>
    <xf numFmtId="44" fontId="4" fillId="0" borderId="1" xfId="4" applyNumberFormat="1" applyFont="1" applyFill="1" applyBorder="1" applyAlignment="1">
      <alignment vertical="center" wrapText="1"/>
    </xf>
    <xf numFmtId="44" fontId="4" fillId="0" borderId="2" xfId="4" applyNumberFormat="1" applyFont="1" applyFill="1" applyBorder="1" applyAlignment="1">
      <alignment vertical="center" wrapText="1"/>
    </xf>
    <xf numFmtId="44" fontId="0" fillId="0" borderId="0" xfId="2" applyNumberFormat="1" applyFont="1" applyAlignment="1">
      <alignment vertical="center" wrapText="1"/>
    </xf>
    <xf numFmtId="0" fontId="1" fillId="0" borderId="0" xfId="0" applyFont="1" applyAlignment="1">
      <alignment horizontal="left" vertical="center" wrapText="1"/>
    </xf>
    <xf numFmtId="44" fontId="4" fillId="0" borderId="1" xfId="0" applyNumberFormat="1" applyFont="1" applyBorder="1" applyAlignment="1">
      <alignment vertical="center" wrapText="1"/>
    </xf>
    <xf numFmtId="0" fontId="9" fillId="19" borderId="1" xfId="0" applyFont="1" applyFill="1" applyBorder="1" applyAlignment="1" applyProtection="1">
      <alignment wrapText="1"/>
      <protection hidden="1"/>
    </xf>
    <xf numFmtId="0" fontId="9" fillId="0" borderId="1" xfId="0" applyFont="1" applyBorder="1" applyAlignment="1" applyProtection="1">
      <protection hidden="1"/>
    </xf>
    <xf numFmtId="0" fontId="19" fillId="18" borderId="9" xfId="0" applyFont="1" applyFill="1" applyBorder="1" applyAlignment="1" applyProtection="1">
      <alignment horizontal="center" wrapText="1"/>
      <protection hidden="1"/>
    </xf>
    <xf numFmtId="0" fontId="20" fillId="0" borderId="9" xfId="0" applyFont="1" applyBorder="1" applyAlignment="1">
      <alignment horizontal="center" wrapText="1"/>
    </xf>
    <xf numFmtId="0" fontId="19" fillId="15" borderId="9" xfId="0" applyFont="1" applyFill="1" applyBorder="1" applyAlignment="1" applyProtection="1">
      <alignment horizontal="center" wrapText="1"/>
      <protection hidden="1"/>
    </xf>
    <xf numFmtId="0" fontId="20" fillId="15" borderId="9" xfId="0" applyFont="1" applyFill="1" applyBorder="1" applyAlignment="1">
      <alignment horizontal="center" wrapText="1"/>
    </xf>
    <xf numFmtId="0" fontId="9" fillId="19" borderId="4" xfId="0" applyFont="1" applyFill="1" applyBorder="1" applyAlignment="1" applyProtection="1">
      <alignment wrapText="1"/>
      <protection hidden="1"/>
    </xf>
    <xf numFmtId="0" fontId="0" fillId="0" borderId="7" xfId="0" applyBorder="1" applyAlignment="1"/>
    <xf numFmtId="0" fontId="9" fillId="0" borderId="4" xfId="0" applyFont="1" applyBorder="1" applyAlignment="1" applyProtection="1">
      <protection hidden="1"/>
    </xf>
    <xf numFmtId="9" fontId="28" fillId="4" borderId="10" xfId="9" applyFont="1" applyFill="1" applyBorder="1" applyAlignment="1" applyProtection="1">
      <alignment horizontal="center"/>
      <protection locked="0"/>
    </xf>
    <xf numFmtId="0" fontId="0" fillId="4" borderId="0" xfId="0" applyFill="1" applyAlignment="1" applyProtection="1">
      <alignment horizontal="center"/>
      <protection locked="0"/>
    </xf>
    <xf numFmtId="0" fontId="12" fillId="14" borderId="5" xfId="0" applyFont="1" applyFill="1" applyBorder="1" applyAlignment="1" applyProtection="1">
      <protection hidden="1"/>
    </xf>
    <xf numFmtId="0" fontId="10" fillId="14" borderId="11" xfId="0" applyFont="1" applyFill="1" applyBorder="1" applyAlignment="1" applyProtection="1">
      <protection hidden="1"/>
    </xf>
    <xf numFmtId="0" fontId="10" fillId="14" borderId="8" xfId="0" applyFont="1" applyFill="1" applyBorder="1" applyAlignment="1" applyProtection="1">
      <protection hidden="1"/>
    </xf>
    <xf numFmtId="0" fontId="10" fillId="14" borderId="9" xfId="0" applyFont="1" applyFill="1" applyBorder="1" applyAlignment="1" applyProtection="1">
      <protection hidden="1"/>
    </xf>
    <xf numFmtId="0" fontId="29" fillId="8" borderId="0" xfId="0" applyFont="1" applyFill="1" applyAlignment="1" applyProtection="1">
      <protection hidden="1"/>
    </xf>
    <xf numFmtId="0" fontId="10" fillId="8" borderId="0" xfId="0" applyFont="1" applyFill="1" applyAlignment="1" applyProtection="1">
      <protection hidden="1"/>
    </xf>
    <xf numFmtId="0" fontId="15" fillId="18" borderId="9" xfId="0" applyFont="1" applyFill="1" applyBorder="1" applyAlignment="1" applyProtection="1">
      <alignment horizontal="center"/>
      <protection hidden="1"/>
    </xf>
    <xf numFmtId="0" fontId="16" fillId="0" borderId="9" xfId="0" applyFont="1" applyBorder="1" applyAlignment="1" applyProtection="1">
      <alignment horizontal="center"/>
      <protection hidden="1"/>
    </xf>
    <xf numFmtId="0" fontId="0" fillId="0" borderId="9" xfId="0" applyBorder="1" applyAlignment="1" applyProtection="1">
      <protection hidden="1"/>
    </xf>
    <xf numFmtId="0" fontId="9" fillId="19" borderId="7" xfId="0" applyFont="1" applyFill="1" applyBorder="1" applyAlignment="1" applyProtection="1">
      <alignment wrapText="1"/>
      <protection hidden="1"/>
    </xf>
  </cellXfs>
  <cellStyles count="10">
    <cellStyle name="Comma" xfId="1" builtinId="3"/>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2FD5-6210-4FCD-9D12-D2EFEAD66E0B}">
  <sheetPr>
    <tabColor rgb="FFFF0000"/>
  </sheetPr>
  <dimension ref="A1:M48"/>
  <sheetViews>
    <sheetView topLeftCell="A28" zoomScale="60" zoomScaleNormal="60" workbookViewId="0">
      <selection activeCell="B30" sqref="B30"/>
    </sheetView>
  </sheetViews>
  <sheetFormatPr defaultColWidth="8.6328125" defaultRowHeight="12.5" x14ac:dyDescent="0.25"/>
  <cols>
    <col min="1" max="1" width="48.54296875" style="8" customWidth="1"/>
    <col min="2" max="2" width="55.453125" style="8" customWidth="1"/>
    <col min="3" max="3" width="36.54296875" style="8" customWidth="1"/>
    <col min="4" max="4" width="27.453125" style="8" customWidth="1"/>
    <col min="5" max="5" width="19.6328125" style="8" customWidth="1"/>
    <col min="6" max="7" width="24.453125" style="8" customWidth="1"/>
    <col min="8" max="8" width="45.54296875" style="8" bestFit="1" customWidth="1"/>
    <col min="9" max="9" width="26.08984375" style="8" customWidth="1"/>
    <col min="10" max="10" width="21.54296875" style="8" customWidth="1"/>
    <col min="11" max="11" width="24" style="8" bestFit="1" customWidth="1"/>
    <col min="12" max="12" width="28.6328125" style="8" hidden="1" customWidth="1"/>
    <col min="13" max="13" width="73.90625" style="8" customWidth="1"/>
    <col min="14" max="14" width="13.6328125" style="8" customWidth="1"/>
    <col min="15" max="16384" width="8.6328125" style="8"/>
  </cols>
  <sheetData>
    <row r="1" spans="1:7" s="10" customFormat="1" ht="20" x14ac:dyDescent="0.4">
      <c r="A1" s="127" t="s">
        <v>324</v>
      </c>
      <c r="B1" s="128"/>
      <c r="C1" s="128"/>
      <c r="D1" s="128"/>
      <c r="E1" s="128"/>
      <c r="F1" s="128"/>
      <c r="G1" s="45"/>
    </row>
    <row r="2" spans="1:7" s="10" customFormat="1" ht="10" x14ac:dyDescent="0.2"/>
    <row r="3" spans="1:7" x14ac:dyDescent="0.25">
      <c r="A3" s="129" t="s">
        <v>325</v>
      </c>
      <c r="B3" s="130"/>
      <c r="C3" s="133" t="s">
        <v>326</v>
      </c>
      <c r="D3" s="134"/>
    </row>
    <row r="4" spans="1:7" x14ac:dyDescent="0.25">
      <c r="A4" s="131"/>
      <c r="B4" s="132"/>
      <c r="C4" s="134"/>
      <c r="D4" s="134"/>
      <c r="E4" s="11"/>
      <c r="F4" s="11"/>
      <c r="G4" s="11"/>
    </row>
    <row r="5" spans="1:7" ht="17.5" x14ac:dyDescent="0.35">
      <c r="A5" s="36" t="s">
        <v>327</v>
      </c>
      <c r="B5" s="37"/>
      <c r="C5" s="12" t="s">
        <v>327</v>
      </c>
      <c r="D5" s="13" t="s">
        <v>328</v>
      </c>
    </row>
    <row r="6" spans="1:7" ht="17.5" x14ac:dyDescent="0.35">
      <c r="A6" s="14" t="s">
        <v>329</v>
      </c>
      <c r="B6" s="15" t="e">
        <f>#REF!</f>
        <v>#REF!</v>
      </c>
      <c r="C6" s="16" t="s">
        <v>330</v>
      </c>
      <c r="D6" s="17"/>
    </row>
    <row r="7" spans="1:7" ht="17.5" x14ac:dyDescent="0.35">
      <c r="A7" s="14" t="s">
        <v>331</v>
      </c>
      <c r="B7" s="15" t="e">
        <f>#REF!</f>
        <v>#REF!</v>
      </c>
      <c r="C7" s="16" t="s">
        <v>332</v>
      </c>
      <c r="D7" s="17"/>
    </row>
    <row r="8" spans="1:7" ht="17.5" x14ac:dyDescent="0.35">
      <c r="A8" s="14" t="s">
        <v>333</v>
      </c>
      <c r="B8" s="15" t="e">
        <f>#REF!</f>
        <v>#REF!</v>
      </c>
      <c r="C8" s="16" t="s">
        <v>334</v>
      </c>
      <c r="D8" s="17"/>
    </row>
    <row r="9" spans="1:7" ht="17.5" x14ac:dyDescent="0.35">
      <c r="A9" s="14" t="s">
        <v>335</v>
      </c>
      <c r="B9" s="15" t="e">
        <f>#REF!</f>
        <v>#REF!</v>
      </c>
      <c r="C9" s="16" t="s">
        <v>336</v>
      </c>
      <c r="D9" s="17"/>
    </row>
    <row r="10" spans="1:7" ht="17.5" x14ac:dyDescent="0.35">
      <c r="A10" s="14" t="s">
        <v>337</v>
      </c>
      <c r="B10" s="15" t="e">
        <f>#REF!</f>
        <v>#REF!</v>
      </c>
      <c r="C10" s="79" t="s">
        <v>338</v>
      </c>
      <c r="D10" s="17"/>
    </row>
    <row r="11" spans="1:7" ht="17.5" x14ac:dyDescent="0.35">
      <c r="A11" s="14" t="s">
        <v>339</v>
      </c>
      <c r="B11" s="15" t="e">
        <f>#REF!</f>
        <v>#REF!</v>
      </c>
      <c r="C11" s="16" t="s">
        <v>340</v>
      </c>
      <c r="D11" s="15" t="e">
        <f>#REF!</f>
        <v>#REF!</v>
      </c>
    </row>
    <row r="12" spans="1:7" ht="17.5" x14ac:dyDescent="0.35">
      <c r="A12" s="14" t="s">
        <v>341</v>
      </c>
      <c r="B12" s="15" t="e">
        <f>#REF!</f>
        <v>#REF!</v>
      </c>
      <c r="C12" s="16" t="s">
        <v>342</v>
      </c>
      <c r="D12" s="17"/>
    </row>
    <row r="13" spans="1:7" ht="17.5" x14ac:dyDescent="0.35">
      <c r="A13" s="14" t="s">
        <v>343</v>
      </c>
      <c r="B13" s="15" t="e">
        <f>#REF!</f>
        <v>#REF!</v>
      </c>
      <c r="C13" s="16" t="s">
        <v>344</v>
      </c>
      <c r="D13" s="15" t="e">
        <f>#REF!</f>
        <v>#REF!</v>
      </c>
    </row>
    <row r="14" spans="1:7" ht="17.5" x14ac:dyDescent="0.35">
      <c r="A14" s="14" t="s">
        <v>345</v>
      </c>
      <c r="B14" s="15" t="e">
        <f>#REF!</f>
        <v>#REF!</v>
      </c>
      <c r="C14" s="16" t="s">
        <v>346</v>
      </c>
      <c r="D14" s="17"/>
    </row>
    <row r="15" spans="1:7" ht="17.5" x14ac:dyDescent="0.35">
      <c r="A15" s="14" t="s">
        <v>347</v>
      </c>
      <c r="B15" s="15" t="e">
        <f>#REF!</f>
        <v>#REF!</v>
      </c>
      <c r="C15" s="16" t="s">
        <v>348</v>
      </c>
      <c r="D15" s="15" t="e">
        <f>#REF!</f>
        <v>#REF!</v>
      </c>
    </row>
    <row r="16" spans="1:7" ht="17.5" x14ac:dyDescent="0.35">
      <c r="A16" s="14" t="s">
        <v>349</v>
      </c>
      <c r="B16" s="15" t="e">
        <f>#REF!</f>
        <v>#REF!</v>
      </c>
      <c r="C16" s="16" t="s">
        <v>350</v>
      </c>
      <c r="D16" s="17"/>
    </row>
    <row r="17" spans="1:12" ht="18" thickBot="1" x14ac:dyDescent="0.4">
      <c r="A17" s="18" t="s">
        <v>351</v>
      </c>
      <c r="B17" s="19"/>
      <c r="C17" s="20" t="s">
        <v>351</v>
      </c>
      <c r="D17" s="21" t="e">
        <f>#REF!</f>
        <v>#REF!</v>
      </c>
    </row>
    <row r="18" spans="1:12" ht="18.5" thickTop="1" thickBot="1" x14ac:dyDescent="0.4">
      <c r="A18" s="22" t="s">
        <v>352</v>
      </c>
      <c r="B18" s="23" t="e">
        <f>SUM(B6:B16)</f>
        <v>#REF!</v>
      </c>
      <c r="C18" s="22" t="s">
        <v>353</v>
      </c>
      <c r="D18" s="23" t="e">
        <f>SUM(D6:D17)</f>
        <v>#REF!</v>
      </c>
    </row>
    <row r="19" spans="1:12" ht="36" thickTop="1" thickBot="1" x14ac:dyDescent="0.4">
      <c r="A19" s="81" t="s">
        <v>354</v>
      </c>
      <c r="B19" s="25" t="e">
        <f>#REF!</f>
        <v>#REF!</v>
      </c>
      <c r="C19" s="82"/>
      <c r="D19" s="80"/>
    </row>
    <row r="20" spans="1:12" ht="18.5" thickTop="1" thickBot="1" x14ac:dyDescent="0.4">
      <c r="A20" s="24" t="s">
        <v>355</v>
      </c>
      <c r="B20" s="25" t="e">
        <f>B18+D18+B19</f>
        <v>#REF!</v>
      </c>
      <c r="C20" s="26"/>
      <c r="D20" s="26"/>
      <c r="F20" s="11"/>
      <c r="G20" s="11"/>
      <c r="H20" s="11"/>
      <c r="I20" s="11"/>
      <c r="J20" s="11"/>
    </row>
    <row r="21" spans="1:12" ht="13" thickTop="1" x14ac:dyDescent="0.25">
      <c r="A21" s="27"/>
      <c r="B21" s="27"/>
      <c r="C21" s="27"/>
      <c r="D21" s="27"/>
      <c r="F21" s="11"/>
      <c r="G21" s="11"/>
      <c r="H21" s="11"/>
      <c r="I21" s="11"/>
      <c r="J21" s="11"/>
    </row>
    <row r="22" spans="1:12" ht="20" x14ac:dyDescent="0.4">
      <c r="A22" s="135" t="s">
        <v>356</v>
      </c>
      <c r="B22" s="136"/>
      <c r="C22" s="136"/>
      <c r="D22" s="137"/>
      <c r="F22" s="11"/>
      <c r="G22" s="11"/>
      <c r="H22" s="11"/>
      <c r="I22" s="11"/>
      <c r="J22" s="11"/>
    </row>
    <row r="23" spans="1:12" ht="23.4" customHeight="1" x14ac:dyDescent="0.35">
      <c r="A23" s="28" t="s">
        <v>357</v>
      </c>
      <c r="B23" s="32" t="s">
        <v>358</v>
      </c>
      <c r="C23" s="124" t="s">
        <v>359</v>
      </c>
      <c r="D23" s="138"/>
      <c r="F23" s="11"/>
      <c r="G23" s="11"/>
      <c r="H23" s="11"/>
      <c r="I23" s="11"/>
      <c r="J23" s="11"/>
    </row>
    <row r="24" spans="1:12" ht="35.4" customHeight="1" x14ac:dyDescent="0.35">
      <c r="A24" s="28" t="s">
        <v>360</v>
      </c>
      <c r="B24" s="32" t="s">
        <v>361</v>
      </c>
      <c r="C24" s="118"/>
      <c r="D24" s="119"/>
      <c r="F24" s="89"/>
      <c r="G24" s="90"/>
      <c r="H24" s="89"/>
      <c r="I24" s="11"/>
      <c r="J24" s="11"/>
    </row>
    <row r="25" spans="1:12" ht="35.4" customHeight="1" x14ac:dyDescent="0.35">
      <c r="A25" s="28" t="s">
        <v>362</v>
      </c>
      <c r="B25" s="32" t="s">
        <v>363</v>
      </c>
      <c r="C25" s="124" t="s">
        <v>364</v>
      </c>
      <c r="D25" s="125"/>
      <c r="E25" s="83"/>
      <c r="F25" s="11"/>
      <c r="G25" s="11"/>
      <c r="H25" s="11"/>
      <c r="I25" s="11"/>
      <c r="J25" s="11"/>
    </row>
    <row r="26" spans="1:12" ht="40.5" customHeight="1" x14ac:dyDescent="0.35">
      <c r="A26" s="28" t="s">
        <v>365</v>
      </c>
      <c r="B26" s="32" t="s">
        <v>366</v>
      </c>
      <c r="C26" s="118" t="s">
        <v>367</v>
      </c>
      <c r="D26" s="119"/>
      <c r="E26" s="83"/>
      <c r="F26" s="92" t="str">
        <f>IF(B26&lt;&gt;"GIGA","GSP","GSS")</f>
        <v>GSS</v>
      </c>
      <c r="G26" s="92"/>
      <c r="H26" s="92"/>
      <c r="I26" s="92"/>
      <c r="J26" s="11"/>
    </row>
    <row r="27" spans="1:12" ht="39.75" customHeight="1" x14ac:dyDescent="0.35">
      <c r="A27" s="28" t="s">
        <v>368</v>
      </c>
      <c r="B27" s="32" t="s">
        <v>369</v>
      </c>
      <c r="C27" s="118" t="s">
        <v>370</v>
      </c>
      <c r="D27" s="119"/>
      <c r="E27" s="83"/>
      <c r="F27" s="92" t="str">
        <f>IF(B27="Basic","BAS",IF(B27="Enhanced","ENH",IF(B27="Elite","ELT","Please choose Support Level Basic, Enhanced or Elite")))</f>
        <v>ELT</v>
      </c>
      <c r="G27" s="92"/>
      <c r="H27" s="92"/>
      <c r="I27" s="92"/>
      <c r="J27" s="11"/>
    </row>
    <row r="28" spans="1:12" ht="54.75" customHeight="1" x14ac:dyDescent="0.35">
      <c r="A28" s="28" t="s">
        <v>371</v>
      </c>
      <c r="B28" s="32" t="s">
        <v>249</v>
      </c>
      <c r="C28" s="118" t="s">
        <v>372</v>
      </c>
      <c r="D28" s="126"/>
      <c r="E28" s="84"/>
      <c r="F28" s="92" t="str">
        <f>IF(B28="No","FYS","UPG")</f>
        <v>FYS</v>
      </c>
      <c r="G28" s="92"/>
      <c r="H28" s="92" t="str">
        <f>IF(F28="UPG",IF(AND(B27="Enhanced",B28="Yes-Upg BAS to ENH"),"B-ENH",IF(AND(B27="Elite",B28="Yes-Upg STD to ELT"),"S-ELT",IF(AND(B27="Elite",B28="Yes-Upg BAS to ELT"),"B-ELT",IF(AND(B27="Elite",B28="Yes-Upg ENH to ELT"),"E-ELT","B27-Support Level must match B28-Upgrade")))),"OTHER UPGRADE")</f>
        <v>OTHER UPGRADE</v>
      </c>
      <c r="I28" s="93" t="s">
        <v>373</v>
      </c>
      <c r="J28" s="11"/>
    </row>
    <row r="29" spans="1:12" ht="59.25" customHeight="1" x14ac:dyDescent="0.35">
      <c r="A29" s="28" t="s">
        <v>374</v>
      </c>
      <c r="B29" s="33" t="s">
        <v>375</v>
      </c>
      <c r="C29" s="118" t="s">
        <v>376</v>
      </c>
      <c r="D29" s="119"/>
      <c r="F29" s="92" t="str">
        <f>IF(B29="Passthrough","PSS",IF(B29="Plus","PLS",IF(B29="Premier","PMR","PRO")))</f>
        <v>PSS</v>
      </c>
      <c r="G29" s="92"/>
      <c r="H29" s="92"/>
      <c r="I29" s="92"/>
      <c r="J29" s="11"/>
    </row>
    <row r="30" spans="1:12" ht="68.25" customHeight="1" x14ac:dyDescent="0.35">
      <c r="A30" s="28" t="s">
        <v>377</v>
      </c>
      <c r="B30" s="34">
        <v>12</v>
      </c>
      <c r="C30" s="118" t="s">
        <v>378</v>
      </c>
      <c r="D30" s="119"/>
      <c r="F30" s="11"/>
      <c r="G30" s="11"/>
      <c r="I30" s="11"/>
      <c r="J30" s="91"/>
    </row>
    <row r="31" spans="1:12" ht="37.5" customHeight="1" x14ac:dyDescent="0.35">
      <c r="A31" s="28" t="s">
        <v>379</v>
      </c>
      <c r="B31" s="85">
        <v>0</v>
      </c>
      <c r="C31" s="118" t="s">
        <v>380</v>
      </c>
      <c r="D31" s="119"/>
      <c r="J31" s="9"/>
      <c r="K31" s="39"/>
    </row>
    <row r="32" spans="1:12" ht="39" customHeight="1" x14ac:dyDescent="0.7">
      <c r="A32" s="120" t="s">
        <v>381</v>
      </c>
      <c r="B32" s="121"/>
      <c r="C32" s="121"/>
      <c r="D32" s="121"/>
      <c r="E32" s="121"/>
      <c r="F32" s="121"/>
      <c r="G32" s="121"/>
      <c r="H32" s="121"/>
      <c r="I32" s="121"/>
      <c r="J32" s="121"/>
      <c r="K32" s="121"/>
      <c r="L32" s="121"/>
    </row>
    <row r="33" spans="1:13" ht="54" customHeight="1" x14ac:dyDescent="0.4">
      <c r="A33" s="29" t="s">
        <v>382</v>
      </c>
      <c r="B33" s="29" t="s">
        <v>383</v>
      </c>
      <c r="C33" s="29" t="s">
        <v>384</v>
      </c>
      <c r="D33" s="30" t="s">
        <v>385</v>
      </c>
      <c r="E33" s="31" t="s">
        <v>386</v>
      </c>
      <c r="F33" s="31" t="s">
        <v>387</v>
      </c>
      <c r="G33" s="31" t="s">
        <v>388</v>
      </c>
      <c r="H33" s="31" t="s">
        <v>389</v>
      </c>
      <c r="I33" s="31" t="s">
        <v>390</v>
      </c>
      <c r="J33" s="31" t="s">
        <v>391</v>
      </c>
      <c r="K33" s="42" t="s">
        <v>392</v>
      </c>
      <c r="L33" s="31" t="s">
        <v>393</v>
      </c>
    </row>
    <row r="34" spans="1:13" ht="63" customHeight="1" x14ac:dyDescent="0.55000000000000004">
      <c r="A34" s="38" t="str">
        <f>IF(B24="DISTI", "Please select cell B24 as VAR", IF(B28&lt;&gt;"No","Contact your Gigamon sales partner",IF(OR(AND(F26="GSS",F29="PSS"),AND(F26&lt;&gt;"GSS",F29&lt;&gt;"PSS")),CONCATENATE(F26,"-",F28,"-",F27,"-",F29),"Invalid Entry - Support Provider must be GIGA for Passthrough, or VAR/Disti for Plus, Premier, or Professional")))</f>
        <v>GSS-FYS-ELT-PSS</v>
      </c>
      <c r="B34" s="1" t="str">
        <f>IF(B24="VAR",VLOOKUP(A34,'Gigamon DIR Price List'!A:D,2,FALSE),"Please select cell B24 as VAR")</f>
        <v>Initial Gigamon Pass-through Support Type with ELITE Support Level (24x7/AHR), bought with product or within 1 year of original purchase of product</v>
      </c>
      <c r="C34" s="2" t="e">
        <f>IF(B28&lt;&gt;"No","UPGRADE",IF(B27="Basic",B18*0.12,IF(B27="Enhanced",B18*0.15,IF(B27="Elite",B18*0.18,"Oops"))))</f>
        <v>#REF!</v>
      </c>
      <c r="D34" s="7">
        <f>B30</f>
        <v>12</v>
      </c>
      <c r="E34" s="35" t="e">
        <f>C34*(D34/12)</f>
        <v>#REF!</v>
      </c>
      <c r="F34" s="55" t="e">
        <f>IF(AND(B26="GIGA",B29="Passthrough",B25="One Off"),0,
IF(AND(B26="GIGA",B29="Passthrough",B25="Registered"),-0.05*E34,
IF(AND(B26="GIGA",B29="Passthrough",B25="Silver/Gold/Platinum"),-0.1*E34,
IF(AND(OR(B26="VAR",B26="Disti"),B29="Passthrough"),"Invalid:Support Provider Shoud Be Giga",
IF(AND(B26="VAR",B29="Plus"),-0.2*E34,
IF(AND(B26="VAR",B29="Premier"),-0.35*E34,
IF(AND(B26="VAR",B29="Professional"),-0.45*E34,
IF(B26="Disti",-0.1*E34,"error"))))))))</f>
        <v>#REF!</v>
      </c>
      <c r="G34" s="55" t="e">
        <f>IF(E34&gt;=0,E34+F34,"Correction Needed in Selection")</f>
        <v>#REF!</v>
      </c>
      <c r="H34" s="55">
        <f>IF(B30&gt;0,IF(B30&gt;=60,-0.15*G34,IF(B30&gt;=48,-0.12*G34,IF(B30&gt;=36,-0.1*G34,(IF(B30&gt;=24,-0.07*G34,0))))),"Correction Needed in Selection")</f>
        <v>0</v>
      </c>
      <c r="I34" s="56" t="e">
        <f>IF(1&gt;B31, -B31*E34,"Correction Needed in Selection")</f>
        <v>#REF!</v>
      </c>
      <c r="J34" s="55" t="e">
        <f>IF(SUM(F34:I34)&gt;0,(I34+H34+F34),"Correction Needed in Selection")</f>
        <v>#REF!</v>
      </c>
      <c r="K34" s="57" t="e">
        <f>IF((E34+J34)&gt;0,(E34+J34),"Correction Needed in Selection")</f>
        <v>#REF!</v>
      </c>
      <c r="L34" s="40">
        <f>IF(B29="Passthrough",0.1, IF(B29="Plus",0.2,IF(B29="Premier",0.35,IF(B29="Professional",0.45,"error"))))</f>
        <v>0.1</v>
      </c>
      <c r="M34" s="86"/>
    </row>
    <row r="35" spans="1:13" ht="56.25" customHeight="1" x14ac:dyDescent="0.25">
      <c r="A35" s="50" t="s">
        <v>394</v>
      </c>
      <c r="B35" s="46"/>
      <c r="C35" s="47"/>
      <c r="D35" s="48"/>
      <c r="E35" s="49"/>
      <c r="F35" s="60" t="e">
        <f>IF(G34=0,"Update Supported Products",IF(E34&gt;0,-F34/E34,"Correction Needed in Selection"))</f>
        <v>#REF!</v>
      </c>
      <c r="G35" s="52"/>
      <c r="H35" s="60" t="e">
        <f>IF(G34=0,"Update Supported Products",(IF(G34&gt;0,-H34/G34,"CorrectionNeededinSelection")))</f>
        <v>#REF!</v>
      </c>
      <c r="I35" s="59" t="e">
        <f>-IF((E34&gt;0),I34/E34,0)</f>
        <v>#REF!</v>
      </c>
      <c r="J35" s="53"/>
      <c r="K35" s="87" t="str">
        <f>IFERROR(-J34/E34,"Correction Needed in Selection")</f>
        <v>Correction Needed in Selection</v>
      </c>
      <c r="L35" s="40"/>
    </row>
    <row r="36" spans="1:13" ht="36" customHeight="1" x14ac:dyDescent="0.7">
      <c r="A36" s="122" t="s">
        <v>395</v>
      </c>
      <c r="B36" s="123"/>
      <c r="C36" s="123"/>
      <c r="D36" s="123"/>
      <c r="E36" s="123"/>
      <c r="F36" s="123"/>
      <c r="G36" s="123"/>
      <c r="H36" s="123"/>
      <c r="I36" s="123"/>
      <c r="J36" s="123"/>
      <c r="K36" s="123"/>
      <c r="L36" s="123"/>
    </row>
    <row r="37" spans="1:13" ht="54" customHeight="1" x14ac:dyDescent="0.4">
      <c r="A37" s="29" t="s">
        <v>382</v>
      </c>
      <c r="B37" s="29" t="s">
        <v>383</v>
      </c>
      <c r="C37" s="29" t="s">
        <v>384</v>
      </c>
      <c r="D37" s="30" t="s">
        <v>385</v>
      </c>
      <c r="E37" s="31" t="s">
        <v>386</v>
      </c>
      <c r="F37" s="31" t="s">
        <v>396</v>
      </c>
      <c r="G37" s="31" t="s">
        <v>397</v>
      </c>
      <c r="H37" s="31" t="s">
        <v>389</v>
      </c>
      <c r="I37" s="31" t="s">
        <v>390</v>
      </c>
      <c r="J37" s="31" t="s">
        <v>391</v>
      </c>
      <c r="K37" s="43" t="s">
        <v>398</v>
      </c>
      <c r="L37" s="31" t="s">
        <v>393</v>
      </c>
    </row>
    <row r="38" spans="1:13" ht="62.25" customHeight="1" x14ac:dyDescent="0.55000000000000004">
      <c r="A38" s="38" t="str">
        <f>IF(B24&lt;&gt;"Disti","Please Select Cell B24 as Disti",IF(OR(AND(F26="GSS",F29="PSS"),AND(F26&lt;&gt;"GSS",F29&lt;&gt;"PSS")),CONCATENATE(F26, "-", F28, "-", F27,"-", F29),  "Invalid Entry - Support Provider must be GIGA for Passthrough, or VAR/Distie for Plus, Premier, or Professional"))</f>
        <v>Please Select Cell B24 as Disti</v>
      </c>
      <c r="B38" s="1" t="str">
        <f>IFERROR(IF(B24="Disti",VLOOKUP(A38,'Gigamon DIR Price List'!A:D,2,FALSE),"Please Select Cell B24 as Disti"),"Correction Needed in Selection")</f>
        <v>Please Select Cell B24 as Disti</v>
      </c>
      <c r="C38" s="2" t="str">
        <f>IF(B24&lt;&gt;"Disti","Not Applicable",IF(B28&lt;&gt;"No","UPGRADE",IF(B27="Basic",B18*0.12,IF(B27="Enhanced",B18*0.15,IF(B27="Elite",B18*0.18,"Oops")))))</f>
        <v>Not Applicable</v>
      </c>
      <c r="D38" s="7" t="str">
        <f>IF(B24&lt;&gt;"Disti","Not Applicable",B30)</f>
        <v>Not Applicable</v>
      </c>
      <c r="E38" s="35" t="str">
        <f>IF(B24&lt;&gt;"Disti","Not Applicable",C38*(D38/12))</f>
        <v>Not Applicable</v>
      </c>
      <c r="F38" s="44" t="str">
        <f>IF(B24&lt;&gt;"Disti","Not Applicable",
IF(AND(OR(B26="VAR",B26="Disti"),B29="Passthrough"), "Invalid:Support Provider Shoud Be Giga",
IF(AND(B24="Disti",B26&lt;&gt;"Disti"),(-((F35+0.05)*E34)),
IF(AND(B24="Disti",B26="Disti",B29="Passthrough"),"Please select Giga as Support Partner or choose Support Provider Level",
IF(AND(B24="Disti",B26="Disti",OR(B29="Plus",B29="Premier",B29="Professional")),-L34*E34,"Error")))))</f>
        <v>Not Applicable</v>
      </c>
      <c r="G38" s="44" t="str">
        <f>(IF(B24&lt;&gt;"Disti","Not Applicable",E38+F38))</f>
        <v>Not Applicable</v>
      </c>
      <c r="H38" s="44" t="str">
        <f>IF(B24&lt;&gt;"Disti","Not Applicable",H34)</f>
        <v>Not Applicable</v>
      </c>
      <c r="I38" s="44" t="str">
        <f>IF(B24&lt;&gt;"Disti","Not Applicable",-B31*E38)</f>
        <v>Not Applicable</v>
      </c>
      <c r="J38" s="58" t="str">
        <f>IF(B24&lt;&gt;"Disti","Not Applicable",I38+H38+F38)</f>
        <v>Not Applicable</v>
      </c>
      <c r="K38" s="88" t="e">
        <f>IF((G38+H38+I38&gt;0),IF(B24&lt;&gt;"Disti","Not Applicable",G38+H38+I38),"Correction Needed in Selection")</f>
        <v>#VALUE!</v>
      </c>
      <c r="L38" s="40" t="str">
        <f>F39</f>
        <v>Not Applicable</v>
      </c>
      <c r="M38" s="86"/>
    </row>
    <row r="39" spans="1:13" ht="56.25" customHeight="1" x14ac:dyDescent="0.25">
      <c r="A39" s="50" t="s">
        <v>394</v>
      </c>
      <c r="B39" s="46"/>
      <c r="C39" s="47"/>
      <c r="D39" s="48"/>
      <c r="E39" s="49"/>
      <c r="F39" s="60" t="str">
        <f>IFERROR(IF(B24&lt;&gt;"Disti","Not Applicable",-F38/E38),"Correction Needed in Selection")</f>
        <v>Not Applicable</v>
      </c>
      <c r="G39" s="3"/>
      <c r="H39" s="51" t="str">
        <f>IF(B24&lt;&gt;"Disti","Not Applicable","Same as VAR Recommendation")</f>
        <v>Not Applicable</v>
      </c>
      <c r="I39" s="59" t="str">
        <f>IF(B24&lt;&gt;"Disti","Not Applicable",-I38/E38)</f>
        <v>Not Applicable</v>
      </c>
      <c r="J39" s="53"/>
      <c r="K39" s="54" t="str">
        <f>IF(B24&lt;&gt;"Disti","Not Applicable",-J38/E38)</f>
        <v>Not Applicable</v>
      </c>
      <c r="L39" s="40"/>
    </row>
    <row r="40" spans="1:13" ht="17.5" x14ac:dyDescent="0.35">
      <c r="A40" s="26" t="s">
        <v>399</v>
      </c>
      <c r="B40" s="27"/>
      <c r="C40" s="27"/>
      <c r="D40" s="27"/>
      <c r="E40" s="27"/>
      <c r="F40" s="27"/>
      <c r="G40" s="27"/>
      <c r="H40" s="27"/>
      <c r="I40" s="27"/>
      <c r="J40" s="27"/>
    </row>
    <row r="41" spans="1:13" ht="17.5" x14ac:dyDescent="0.35">
      <c r="A41" s="26" t="s">
        <v>400</v>
      </c>
      <c r="B41" s="27"/>
      <c r="C41" s="27"/>
      <c r="D41" s="27"/>
      <c r="E41" s="27"/>
      <c r="F41" s="27"/>
      <c r="G41" s="27"/>
      <c r="H41" s="27"/>
      <c r="I41" s="27"/>
      <c r="J41" s="27"/>
    </row>
    <row r="42" spans="1:13" ht="17.5" x14ac:dyDescent="0.35">
      <c r="A42" s="26" t="s">
        <v>401</v>
      </c>
      <c r="B42" s="27"/>
      <c r="C42" s="27"/>
      <c r="D42" s="27"/>
      <c r="E42" s="27"/>
      <c r="F42" s="27"/>
      <c r="G42" s="27"/>
      <c r="H42" s="27"/>
      <c r="I42" s="27"/>
      <c r="J42" s="27"/>
    </row>
    <row r="48" spans="1:13" x14ac:dyDescent="0.25">
      <c r="C48" s="11"/>
    </row>
  </sheetData>
  <mergeCells count="15">
    <mergeCell ref="C24:D24"/>
    <mergeCell ref="A1:F1"/>
    <mergeCell ref="A3:B4"/>
    <mergeCell ref="C3:D4"/>
    <mergeCell ref="A22:D22"/>
    <mergeCell ref="C23:D23"/>
    <mergeCell ref="C31:D31"/>
    <mergeCell ref="A32:L32"/>
    <mergeCell ref="A36:L36"/>
    <mergeCell ref="C25:D25"/>
    <mergeCell ref="C26:D26"/>
    <mergeCell ref="C27:D27"/>
    <mergeCell ref="C28:D28"/>
    <mergeCell ref="C29:D29"/>
    <mergeCell ref="C30:D30"/>
  </mergeCells>
  <dataValidations count="9">
    <dataValidation type="list" showErrorMessage="1" promptTitle="Support Type" prompt="(STD)Standard Support:  First year support 8X5 in US, UK or Hong Kong_x000a_(PRM) Premium Support:   7X24X365 access to support_x000a_" sqref="B28" xr:uid="{2CE31942-EBB0-4BBF-BB93-E702E227E92B}">
      <formula1>"No,Yes-Upg STD to ELT, Yes-Upg BAS to ENH, Yes-Upg BAS to ELT, Yes-Upg ENH to ELT"</formula1>
    </dataValidation>
    <dataValidation type="decimal" showErrorMessage="1" promptTitle="Years of Support" prompt="This will be used to calculate multi-year discount.  Multi-year requires minimum 3 years to be purchased.  Options are: 1, 3+" sqref="B31" xr:uid="{DBD0174D-C219-4AA6-B7C8-4ED0588C412D}">
      <formula1>0</formula1>
      <formula2>1</formula2>
    </dataValidation>
    <dataValidation type="decimal" errorStyle="warning" showErrorMessage="1" errorTitle="Duration Greater than 5 years" error="Multi-year support beyond 5 years requires special approval.  Please consult your Account Team" promptTitle="Years of Support" prompt="This will be used to calculate multi-year discount.  Multi-year requires minimum 3 years to be purchased.  Options are: 1, 3+" sqref="B30" xr:uid="{4BEF4C8D-0865-4BB8-A351-50C7BAD32FE4}">
      <formula1>1</formula1>
      <formula2>60</formula2>
    </dataValidation>
    <dataValidation type="list" showErrorMessage="1" promptTitle="Support Partner Level" prompt="This is for only if you are a member of the Gigamon Support Partner Program" sqref="B29" xr:uid="{15A6CB48-4915-4073-BBB3-896D18A40A8B}">
      <formula1>"Passthrough, Plus, Premier, Professional"</formula1>
    </dataValidation>
    <dataValidation type="list" showErrorMessage="1" promptTitle="Support Type" prompt="(STD)Standard Support:  First year support 8X5 in US, UK or Hong Kong_x000a_(PRM) Premium Support:   7X24X365 access to support_x000a_" sqref="B27" xr:uid="{677F673F-85C1-4613-BBCD-A0109F61E0C5}">
      <formula1>"Basic, Enhanced, Elite"</formula1>
    </dataValidation>
    <dataValidation type="list" showErrorMessage="1" promptTitle="Support Provider" prompt="This is to understand who is the primary Support provider for this opportunity.   Options are Gigamon, valure added reseller (VAR), or Distribution partner(Distribution)" sqref="B26" xr:uid="{58AFD91B-4500-4D5B-97D7-6AD3D744A8B8}">
      <formula1>"GIGA, VAR, DISTI"</formula1>
    </dataValidation>
    <dataValidation type="list" showErrorMessage="1" promptTitle="Please enter your Geography" prompt="Options are: APAC, EMEA, Americas_x000a_" sqref="B24" xr:uid="{9EB877FA-3925-4A71-BB60-F2044F686E52}">
      <formula1>"VAR, DISTI"</formula1>
    </dataValidation>
    <dataValidation type="list" showErrorMessage="1" promptTitle="Please enter your Geography" prompt="_x000a_" sqref="B23" xr:uid="{BE555594-2B96-4397-B53D-E83D10946933}">
      <formula1>"AMER, EMEA, APAC"</formula1>
    </dataValidation>
    <dataValidation type="list" showErrorMessage="1" promptTitle="Please enter your Geography" prompt="Options are: APAC, EMEA, Americas_x000a_" sqref="B25" xr:uid="{C05D2CC8-F972-4832-91B8-8D435CAFC37F}">
      <formula1>"Registered, One Off,  Silver/Gold/Platinum"</formula1>
    </dataValidation>
  </dataValidations>
  <pageMargins left="0.7" right="0.7" top="0.75" bottom="0.75" header="0.3" footer="0.3"/>
  <pageSetup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BK323"/>
  <sheetViews>
    <sheetView tabSelected="1" zoomScale="115" zoomScaleNormal="115" zoomScaleSheetLayoutView="100" workbookViewId="0">
      <pane ySplit="1" topLeftCell="A2" activePane="bottomLeft" state="frozen"/>
      <selection activeCell="B3" sqref="B3"/>
      <selection pane="bottomLeft" activeCell="A2" sqref="A2"/>
    </sheetView>
  </sheetViews>
  <sheetFormatPr defaultColWidth="9.36328125" defaultRowHeight="12.5" x14ac:dyDescent="0.25"/>
  <cols>
    <col min="1" max="1" width="21.54296875" style="74" customWidth="1"/>
    <col min="2" max="2" width="58.1796875" style="69" customWidth="1"/>
    <col min="3" max="3" width="18.54296875" style="115" bestFit="1" customWidth="1"/>
    <col min="4" max="4" width="17.90625" style="69" bestFit="1" customWidth="1"/>
    <col min="5" max="63" width="9.36328125" style="68"/>
    <col min="64" max="16384" width="9.36328125" style="69"/>
  </cols>
  <sheetData>
    <row r="1" spans="1:63" s="6" customFormat="1" ht="14" x14ac:dyDescent="0.25">
      <c r="A1" s="4" t="s">
        <v>142</v>
      </c>
      <c r="B1" s="4" t="s">
        <v>410</v>
      </c>
      <c r="C1" s="108" t="s">
        <v>411</v>
      </c>
      <c r="D1" s="4" t="s">
        <v>736</v>
      </c>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s="66" customFormat="1" ht="15" customHeight="1" x14ac:dyDescent="0.25">
      <c r="A2" s="63" t="s">
        <v>59</v>
      </c>
      <c r="B2" s="64" t="s">
        <v>60</v>
      </c>
      <c r="C2" s="109">
        <v>65</v>
      </c>
      <c r="D2" s="117">
        <f>SUM(C2*0.8725)</f>
        <v>56.712500000000006</v>
      </c>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3" ht="12.75" customHeight="1" x14ac:dyDescent="0.25">
      <c r="A3" s="64" t="s">
        <v>31</v>
      </c>
      <c r="B3" s="64" t="s">
        <v>412</v>
      </c>
      <c r="C3" s="109">
        <v>29995</v>
      </c>
      <c r="D3" s="117">
        <f t="shared" ref="D3:D66" si="0">SUM(C3*0.8725)</f>
        <v>26170.637500000001</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row>
    <row r="4" spans="1:63" ht="12.75" customHeight="1" x14ac:dyDescent="0.25">
      <c r="A4" s="64" t="s">
        <v>32</v>
      </c>
      <c r="B4" s="64" t="s">
        <v>413</v>
      </c>
      <c r="C4" s="109">
        <v>31995</v>
      </c>
      <c r="D4" s="117">
        <f t="shared" si="0"/>
        <v>27915.637500000001</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row>
    <row r="5" spans="1:63" ht="12.75" customHeight="1" x14ac:dyDescent="0.25">
      <c r="A5" s="64" t="s">
        <v>33</v>
      </c>
      <c r="B5" s="64" t="s">
        <v>414</v>
      </c>
      <c r="C5" s="109">
        <v>34995</v>
      </c>
      <c r="D5" s="117">
        <f t="shared" si="0"/>
        <v>30533.137500000001</v>
      </c>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row>
    <row r="6" spans="1:63" ht="12.75" customHeight="1" x14ac:dyDescent="0.25">
      <c r="A6" s="64" t="s">
        <v>184</v>
      </c>
      <c r="B6" s="64" t="s">
        <v>415</v>
      </c>
      <c r="C6" s="109">
        <v>29995</v>
      </c>
      <c r="D6" s="117">
        <f t="shared" si="0"/>
        <v>26170.637500000001</v>
      </c>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row>
    <row r="7" spans="1:63" ht="12.75" customHeight="1" x14ac:dyDescent="0.25">
      <c r="A7" s="64" t="s">
        <v>167</v>
      </c>
      <c r="B7" s="64" t="s">
        <v>416</v>
      </c>
      <c r="C7" s="109">
        <v>9995</v>
      </c>
      <c r="D7" s="117">
        <f t="shared" si="0"/>
        <v>8720.6375000000007</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row>
    <row r="8" spans="1:63" ht="19.25" customHeight="1" x14ac:dyDescent="0.25">
      <c r="A8" s="63" t="s">
        <v>197</v>
      </c>
      <c r="B8" s="63" t="s">
        <v>417</v>
      </c>
      <c r="C8" s="110">
        <v>59995</v>
      </c>
      <c r="D8" s="117">
        <f t="shared" si="0"/>
        <v>52345.637500000004</v>
      </c>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row>
    <row r="9" spans="1:63" ht="12.75" customHeight="1" x14ac:dyDescent="0.25">
      <c r="A9" s="63" t="s">
        <v>80</v>
      </c>
      <c r="B9" s="64" t="s">
        <v>418</v>
      </c>
      <c r="C9" s="109">
        <v>425</v>
      </c>
      <c r="D9" s="117">
        <f t="shared" si="0"/>
        <v>370.8125</v>
      </c>
    </row>
    <row r="10" spans="1:63" ht="12.75" customHeight="1" x14ac:dyDescent="0.25">
      <c r="A10" s="63" t="s">
        <v>81</v>
      </c>
      <c r="B10" s="64" t="s">
        <v>419</v>
      </c>
      <c r="C10" s="109">
        <v>495</v>
      </c>
      <c r="D10" s="117">
        <f t="shared" si="0"/>
        <v>431.88750000000005</v>
      </c>
    </row>
    <row r="11" spans="1:63" ht="12.75" customHeight="1" x14ac:dyDescent="0.25">
      <c r="A11" s="63" t="s">
        <v>82</v>
      </c>
      <c r="B11" s="64" t="s">
        <v>420</v>
      </c>
      <c r="C11" s="109">
        <v>545</v>
      </c>
      <c r="D11" s="117">
        <f t="shared" si="0"/>
        <v>475.51250000000005</v>
      </c>
    </row>
    <row r="12" spans="1:63" ht="12.75" customHeight="1" x14ac:dyDescent="0.25">
      <c r="A12" s="63" t="s">
        <v>83</v>
      </c>
      <c r="B12" s="64" t="s">
        <v>84</v>
      </c>
      <c r="C12" s="109">
        <v>595</v>
      </c>
      <c r="D12" s="117">
        <f t="shared" si="0"/>
        <v>519.13750000000005</v>
      </c>
    </row>
    <row r="13" spans="1:63" ht="12.75" customHeight="1" x14ac:dyDescent="0.25">
      <c r="A13" s="63" t="s">
        <v>92</v>
      </c>
      <c r="B13" s="64" t="s">
        <v>97</v>
      </c>
      <c r="C13" s="109">
        <v>1345</v>
      </c>
      <c r="D13" s="117">
        <f t="shared" si="0"/>
        <v>1173.5125</v>
      </c>
    </row>
    <row r="14" spans="1:63" ht="12.75" customHeight="1" x14ac:dyDescent="0.25">
      <c r="A14" s="63" t="s">
        <v>98</v>
      </c>
      <c r="B14" s="64" t="s">
        <v>99</v>
      </c>
      <c r="C14" s="109">
        <v>1395</v>
      </c>
      <c r="D14" s="117">
        <f t="shared" si="0"/>
        <v>1217.1375</v>
      </c>
    </row>
    <row r="15" spans="1:63" ht="12.75" customHeight="1" x14ac:dyDescent="0.25">
      <c r="A15" s="63" t="s">
        <v>100</v>
      </c>
      <c r="B15" s="64" t="s">
        <v>101</v>
      </c>
      <c r="C15" s="109">
        <v>1995</v>
      </c>
      <c r="D15" s="117">
        <f t="shared" si="0"/>
        <v>1740.6375</v>
      </c>
    </row>
    <row r="16" spans="1:63" ht="12.75" customHeight="1" x14ac:dyDescent="0.25">
      <c r="A16" s="63" t="s">
        <v>72</v>
      </c>
      <c r="B16" s="64" t="s">
        <v>85</v>
      </c>
      <c r="C16" s="109">
        <v>38495</v>
      </c>
      <c r="D16" s="117">
        <f t="shared" si="0"/>
        <v>33586.887500000004</v>
      </c>
    </row>
    <row r="17" spans="1:63" ht="12.75" customHeight="1" x14ac:dyDescent="0.25">
      <c r="A17" s="63" t="s">
        <v>73</v>
      </c>
      <c r="B17" s="64" t="s">
        <v>86</v>
      </c>
      <c r="C17" s="109">
        <v>89495</v>
      </c>
      <c r="D17" s="117">
        <f t="shared" si="0"/>
        <v>78084.387500000012</v>
      </c>
    </row>
    <row r="18" spans="1:63" ht="12.75" customHeight="1" x14ac:dyDescent="0.25">
      <c r="A18" s="63" t="s">
        <v>7</v>
      </c>
      <c r="B18" s="64" t="s">
        <v>8</v>
      </c>
      <c r="C18" s="109">
        <v>59995</v>
      </c>
      <c r="D18" s="117">
        <f t="shared" si="0"/>
        <v>52345.637500000004</v>
      </c>
    </row>
    <row r="19" spans="1:63" ht="12.75" customHeight="1" x14ac:dyDescent="0.25">
      <c r="A19" s="63" t="s">
        <v>62</v>
      </c>
      <c r="B19" s="64" t="s">
        <v>63</v>
      </c>
      <c r="C19" s="109">
        <v>12000</v>
      </c>
      <c r="D19" s="117">
        <f t="shared" si="0"/>
        <v>10470</v>
      </c>
    </row>
    <row r="20" spans="1:63" ht="12.75" customHeight="1" x14ac:dyDescent="0.25">
      <c r="A20" s="63" t="s">
        <v>36</v>
      </c>
      <c r="B20" s="64" t="s">
        <v>37</v>
      </c>
      <c r="C20" s="109">
        <v>9000</v>
      </c>
      <c r="D20" s="117">
        <f t="shared" si="0"/>
        <v>7852.5000000000009</v>
      </c>
    </row>
    <row r="21" spans="1:63" ht="12.75" customHeight="1" x14ac:dyDescent="0.25">
      <c r="A21" s="63" t="s">
        <v>64</v>
      </c>
      <c r="B21" s="64" t="s">
        <v>421</v>
      </c>
      <c r="C21" s="109">
        <v>15000</v>
      </c>
      <c r="D21" s="117">
        <f t="shared" si="0"/>
        <v>13087.5</v>
      </c>
    </row>
    <row r="22" spans="1:63" ht="12.75" customHeight="1" x14ac:dyDescent="0.25">
      <c r="A22" s="63" t="s">
        <v>65</v>
      </c>
      <c r="B22" s="64" t="s">
        <v>422</v>
      </c>
      <c r="C22" s="109">
        <v>20000</v>
      </c>
      <c r="D22" s="117">
        <f t="shared" si="0"/>
        <v>17450</v>
      </c>
    </row>
    <row r="23" spans="1:63" ht="12.75" customHeight="1" x14ac:dyDescent="0.25">
      <c r="A23" s="64" t="s">
        <v>19</v>
      </c>
      <c r="B23" s="63" t="s">
        <v>160</v>
      </c>
      <c r="C23" s="109">
        <v>2995</v>
      </c>
      <c r="D23" s="117">
        <f t="shared" si="0"/>
        <v>2613.1375000000003</v>
      </c>
    </row>
    <row r="24" spans="1:63" ht="12.75" customHeight="1" x14ac:dyDescent="0.25">
      <c r="A24" s="64" t="s">
        <v>9</v>
      </c>
      <c r="B24" s="63" t="s">
        <v>161</v>
      </c>
      <c r="C24" s="109">
        <v>3995</v>
      </c>
      <c r="D24" s="117">
        <f t="shared" si="0"/>
        <v>3485.6375000000003</v>
      </c>
    </row>
    <row r="25" spans="1:63" s="6" customFormat="1" ht="15" customHeight="1" x14ac:dyDescent="0.25">
      <c r="A25" s="63" t="s">
        <v>162</v>
      </c>
      <c r="B25" s="63" t="s">
        <v>163</v>
      </c>
      <c r="C25" s="110">
        <v>4995</v>
      </c>
      <c r="D25" s="117">
        <f t="shared" si="0"/>
        <v>4358.1374999999998</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row>
    <row r="26" spans="1:63" ht="12.75" customHeight="1" x14ac:dyDescent="0.25">
      <c r="A26" s="63" t="s">
        <v>181</v>
      </c>
      <c r="B26" s="63" t="s">
        <v>423</v>
      </c>
      <c r="C26" s="110">
        <v>24995</v>
      </c>
      <c r="D26" s="117">
        <f t="shared" si="0"/>
        <v>21808.137500000001</v>
      </c>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row>
    <row r="27" spans="1:63" ht="12.75" customHeight="1" x14ac:dyDescent="0.25">
      <c r="A27" s="64" t="s">
        <v>38</v>
      </c>
      <c r="B27" s="64" t="s">
        <v>39</v>
      </c>
      <c r="C27" s="109">
        <v>1800</v>
      </c>
      <c r="D27" s="117">
        <f t="shared" si="0"/>
        <v>1570.5</v>
      </c>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row>
    <row r="28" spans="1:63" ht="12.75" customHeight="1" x14ac:dyDescent="0.25">
      <c r="A28" s="64" t="s">
        <v>71</v>
      </c>
      <c r="B28" s="64" t="s">
        <v>424</v>
      </c>
      <c r="C28" s="109">
        <v>1295</v>
      </c>
      <c r="D28" s="117">
        <f t="shared" si="0"/>
        <v>1129.8875</v>
      </c>
    </row>
    <row r="29" spans="1:63" ht="12.75" customHeight="1" x14ac:dyDescent="0.25">
      <c r="A29" s="64" t="s">
        <v>102</v>
      </c>
      <c r="B29" s="64" t="s">
        <v>425</v>
      </c>
      <c r="C29" s="109">
        <v>1595</v>
      </c>
      <c r="D29" s="117">
        <f t="shared" si="0"/>
        <v>1391.6375</v>
      </c>
    </row>
    <row r="30" spans="1:63" ht="12.75" customHeight="1" x14ac:dyDescent="0.25">
      <c r="A30" s="64" t="s">
        <v>93</v>
      </c>
      <c r="B30" s="64" t="s">
        <v>426</v>
      </c>
      <c r="C30" s="109">
        <v>1795</v>
      </c>
      <c r="D30" s="117">
        <f t="shared" si="0"/>
        <v>1566.1375</v>
      </c>
    </row>
    <row r="31" spans="1:63" ht="12.75" customHeight="1" x14ac:dyDescent="0.25">
      <c r="A31" s="64" t="s">
        <v>103</v>
      </c>
      <c r="B31" s="64" t="s">
        <v>104</v>
      </c>
      <c r="C31" s="109">
        <v>149</v>
      </c>
      <c r="D31" s="117">
        <f t="shared" si="0"/>
        <v>130.0025</v>
      </c>
    </row>
    <row r="32" spans="1:63" ht="12.75" customHeight="1" x14ac:dyDescent="0.25">
      <c r="A32" s="64" t="s">
        <v>258</v>
      </c>
      <c r="B32" s="64" t="s">
        <v>427</v>
      </c>
      <c r="C32" s="109">
        <v>149</v>
      </c>
      <c r="D32" s="117">
        <f t="shared" si="0"/>
        <v>130.0025</v>
      </c>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row>
    <row r="33" spans="1:63" ht="12.75" customHeight="1" x14ac:dyDescent="0.25">
      <c r="A33" s="64" t="s">
        <v>259</v>
      </c>
      <c r="B33" s="64" t="s">
        <v>428</v>
      </c>
      <c r="C33" s="109">
        <v>149</v>
      </c>
      <c r="D33" s="117">
        <f t="shared" si="0"/>
        <v>130.0025</v>
      </c>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row>
    <row r="34" spans="1:63" ht="12.75" customHeight="1" x14ac:dyDescent="0.25">
      <c r="A34" s="64" t="s">
        <v>105</v>
      </c>
      <c r="B34" s="64" t="s">
        <v>429</v>
      </c>
      <c r="C34" s="109">
        <v>245</v>
      </c>
      <c r="D34" s="117">
        <f t="shared" si="0"/>
        <v>213.76250000000002</v>
      </c>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63" ht="12.75" customHeight="1" x14ac:dyDescent="0.25">
      <c r="A35" s="64" t="s">
        <v>106</v>
      </c>
      <c r="B35" s="64" t="s">
        <v>430</v>
      </c>
      <c r="C35" s="109">
        <v>445</v>
      </c>
      <c r="D35" s="117">
        <f t="shared" si="0"/>
        <v>388.26250000000005</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63" ht="12.75" customHeight="1" x14ac:dyDescent="0.25">
      <c r="A36" s="64" t="s">
        <v>231</v>
      </c>
      <c r="B36" s="64" t="s">
        <v>431</v>
      </c>
      <c r="C36" s="109">
        <v>32995</v>
      </c>
      <c r="D36" s="117">
        <f t="shared" si="0"/>
        <v>28788.137500000001</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63" ht="12.75" customHeight="1" x14ac:dyDescent="0.25">
      <c r="A37" s="63" t="s">
        <v>232</v>
      </c>
      <c r="B37" s="63" t="s">
        <v>432</v>
      </c>
      <c r="C37" s="110">
        <v>0</v>
      </c>
      <c r="D37" s="117">
        <f t="shared" si="0"/>
        <v>0</v>
      </c>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row>
    <row r="38" spans="1:63" ht="12.75" customHeight="1" x14ac:dyDescent="0.25">
      <c r="A38" s="63" t="s">
        <v>233</v>
      </c>
      <c r="B38" s="63" t="s">
        <v>433</v>
      </c>
      <c r="C38" s="110">
        <v>14995</v>
      </c>
      <c r="D38" s="117">
        <f t="shared" si="0"/>
        <v>13083.137500000001</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row>
    <row r="39" spans="1:63" ht="12.75" customHeight="1" x14ac:dyDescent="0.25">
      <c r="A39" s="63" t="s">
        <v>234</v>
      </c>
      <c r="B39" s="63" t="s">
        <v>434</v>
      </c>
      <c r="C39" s="110">
        <v>24995</v>
      </c>
      <c r="D39" s="117">
        <f t="shared" si="0"/>
        <v>21808.137500000001</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row>
    <row r="40" spans="1:63" ht="22.5" customHeight="1" x14ac:dyDescent="0.25">
      <c r="A40" s="63" t="s">
        <v>35</v>
      </c>
      <c r="B40" s="63" t="s">
        <v>435</v>
      </c>
      <c r="C40" s="110">
        <v>49995</v>
      </c>
      <c r="D40" s="117">
        <f t="shared" si="0"/>
        <v>43620.637500000004</v>
      </c>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row>
    <row r="41" spans="1:63" ht="17.399999999999999" customHeight="1" x14ac:dyDescent="0.25">
      <c r="A41" s="63" t="s">
        <v>235</v>
      </c>
      <c r="B41" s="63" t="s">
        <v>436</v>
      </c>
      <c r="C41" s="110">
        <v>9995</v>
      </c>
      <c r="D41" s="117">
        <f t="shared" si="0"/>
        <v>8720.6375000000007</v>
      </c>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row>
    <row r="42" spans="1:63" ht="19.25" customHeight="1" x14ac:dyDescent="0.25">
      <c r="A42" s="64" t="s">
        <v>236</v>
      </c>
      <c r="B42" s="64" t="s">
        <v>437</v>
      </c>
      <c r="C42" s="109">
        <v>9995</v>
      </c>
      <c r="D42" s="117">
        <f t="shared" si="0"/>
        <v>8720.6375000000007</v>
      </c>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row>
    <row r="43" spans="1:63" ht="17.399999999999999" customHeight="1" x14ac:dyDescent="0.25">
      <c r="A43" s="64" t="s">
        <v>237</v>
      </c>
      <c r="B43" s="64" t="s">
        <v>438</v>
      </c>
      <c r="C43" s="109">
        <v>9995</v>
      </c>
      <c r="D43" s="117">
        <f t="shared" si="0"/>
        <v>8720.6375000000007</v>
      </c>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row>
    <row r="44" spans="1:63" ht="22.5" customHeight="1" x14ac:dyDescent="0.25">
      <c r="A44" s="64" t="s">
        <v>238</v>
      </c>
      <c r="B44" s="64" t="s">
        <v>439</v>
      </c>
      <c r="C44" s="109">
        <v>34995</v>
      </c>
      <c r="D44" s="117">
        <f t="shared" si="0"/>
        <v>30533.137500000001</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row>
    <row r="45" spans="1:63" ht="33.75" customHeight="1" x14ac:dyDescent="0.25">
      <c r="A45" s="64" t="s">
        <v>239</v>
      </c>
      <c r="B45" s="64" t="s">
        <v>440</v>
      </c>
      <c r="C45" s="109">
        <v>24995</v>
      </c>
      <c r="D45" s="117">
        <f t="shared" si="0"/>
        <v>21808.137500000001</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row>
    <row r="46" spans="1:63" ht="12.75" customHeight="1" x14ac:dyDescent="0.25">
      <c r="A46" s="63" t="s">
        <v>13</v>
      </c>
      <c r="B46" s="64" t="s">
        <v>441</v>
      </c>
      <c r="C46" s="109">
        <v>4995</v>
      </c>
      <c r="D46" s="117">
        <f t="shared" si="0"/>
        <v>4358.1374999999998</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row>
    <row r="47" spans="1:63" ht="12.75" customHeight="1" x14ac:dyDescent="0.25">
      <c r="A47" s="63" t="s">
        <v>14</v>
      </c>
      <c r="B47" s="64" t="s">
        <v>442</v>
      </c>
      <c r="C47" s="109">
        <v>19995</v>
      </c>
      <c r="D47" s="117">
        <f t="shared" si="0"/>
        <v>17445.637500000001</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row>
    <row r="48" spans="1:63" ht="12.75" customHeight="1" x14ac:dyDescent="0.25">
      <c r="A48" s="63" t="s">
        <v>15</v>
      </c>
      <c r="B48" s="64" t="s">
        <v>443</v>
      </c>
      <c r="C48" s="109">
        <v>29995</v>
      </c>
      <c r="D48" s="117">
        <f t="shared" si="0"/>
        <v>26170.637500000001</v>
      </c>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row>
    <row r="49" spans="1:63" ht="12.75" customHeight="1" x14ac:dyDescent="0.25">
      <c r="A49" s="63" t="s">
        <v>16</v>
      </c>
      <c r="B49" s="64" t="s">
        <v>444</v>
      </c>
      <c r="C49" s="109">
        <v>59995</v>
      </c>
      <c r="D49" s="117">
        <f t="shared" si="0"/>
        <v>52345.637500000004</v>
      </c>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row>
    <row r="50" spans="1:63" ht="12.75" customHeight="1" x14ac:dyDescent="0.25">
      <c r="A50" s="63" t="s">
        <v>240</v>
      </c>
      <c r="B50" s="64" t="s">
        <v>445</v>
      </c>
      <c r="C50" s="109">
        <v>199995</v>
      </c>
      <c r="D50" s="117">
        <f t="shared" si="0"/>
        <v>174495.63750000001</v>
      </c>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row>
    <row r="51" spans="1:63" s="68" customFormat="1" ht="22.5" customHeight="1" x14ac:dyDescent="0.25">
      <c r="A51" s="63" t="s">
        <v>241</v>
      </c>
      <c r="B51" s="63" t="s">
        <v>446</v>
      </c>
      <c r="C51" s="110">
        <v>9995</v>
      </c>
      <c r="D51" s="105">
        <f t="shared" ref="D51:D53" si="1">SUM(C51*0.99)</f>
        <v>9895.0499999999993</v>
      </c>
    </row>
    <row r="52" spans="1:63" s="68" customFormat="1" ht="22.5" customHeight="1" x14ac:dyDescent="0.25">
      <c r="A52" s="63" t="s">
        <v>242</v>
      </c>
      <c r="B52" s="63" t="s">
        <v>447</v>
      </c>
      <c r="C52" s="110">
        <v>19995</v>
      </c>
      <c r="D52" s="105">
        <f t="shared" si="1"/>
        <v>19795.05</v>
      </c>
    </row>
    <row r="53" spans="1:63" s="68" customFormat="1" ht="22.5" customHeight="1" x14ac:dyDescent="0.25">
      <c r="A53" s="63" t="s">
        <v>243</v>
      </c>
      <c r="B53" s="63" t="s">
        <v>448</v>
      </c>
      <c r="C53" s="110">
        <v>59995</v>
      </c>
      <c r="D53" s="105">
        <f t="shared" si="1"/>
        <v>59395.05</v>
      </c>
    </row>
    <row r="54" spans="1:63" s="96" customFormat="1" ht="22.5" customHeight="1" x14ac:dyDescent="0.25">
      <c r="A54" s="94" t="s">
        <v>229</v>
      </c>
      <c r="B54" s="94" t="s">
        <v>735</v>
      </c>
      <c r="C54" s="113">
        <v>2000</v>
      </c>
      <c r="D54" s="105">
        <f>SUM(C54*0.99)</f>
        <v>1980</v>
      </c>
    </row>
    <row r="55" spans="1:63" s="96" customFormat="1" ht="22.5" customHeight="1" x14ac:dyDescent="0.25">
      <c r="A55" s="94" t="s">
        <v>230</v>
      </c>
      <c r="B55" s="94" t="s">
        <v>734</v>
      </c>
      <c r="C55" s="113">
        <v>10000</v>
      </c>
      <c r="D55" s="105">
        <f>SUM(C55*0.99)</f>
        <v>9900</v>
      </c>
    </row>
    <row r="56" spans="1:63" ht="12.75" customHeight="1" x14ac:dyDescent="0.25">
      <c r="A56" s="63" t="s">
        <v>1</v>
      </c>
      <c r="B56" s="64" t="s">
        <v>135</v>
      </c>
      <c r="C56" s="109">
        <v>1495</v>
      </c>
      <c r="D56" s="117">
        <f t="shared" si="0"/>
        <v>1304.3875</v>
      </c>
    </row>
    <row r="57" spans="1:63" ht="12.75" customHeight="1" x14ac:dyDescent="0.25">
      <c r="A57" s="64" t="s">
        <v>2</v>
      </c>
      <c r="B57" s="64" t="s">
        <v>449</v>
      </c>
      <c r="C57" s="109">
        <v>1495</v>
      </c>
      <c r="D57" s="117">
        <f t="shared" si="0"/>
        <v>1304.3875</v>
      </c>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row>
    <row r="58" spans="1:63" ht="12.75" customHeight="1" x14ac:dyDescent="0.25">
      <c r="A58" s="64" t="s">
        <v>3</v>
      </c>
      <c r="B58" s="64" t="s">
        <v>450</v>
      </c>
      <c r="C58" s="109">
        <v>1695</v>
      </c>
      <c r="D58" s="117">
        <f t="shared" si="0"/>
        <v>1478.8875</v>
      </c>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row>
    <row r="59" spans="1:63" ht="12.75" customHeight="1" x14ac:dyDescent="0.25">
      <c r="A59" s="64" t="s">
        <v>4</v>
      </c>
      <c r="B59" s="64" t="s">
        <v>107</v>
      </c>
      <c r="C59" s="109">
        <v>2195</v>
      </c>
      <c r="D59" s="117">
        <f t="shared" si="0"/>
        <v>1915.1375</v>
      </c>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row>
    <row r="60" spans="1:63" ht="12.75" customHeight="1" x14ac:dyDescent="0.25">
      <c r="A60" s="64" t="s">
        <v>5</v>
      </c>
      <c r="B60" s="64" t="s">
        <v>451</v>
      </c>
      <c r="C60" s="109">
        <v>2195</v>
      </c>
      <c r="D60" s="117">
        <f t="shared" si="0"/>
        <v>1915.1375</v>
      </c>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row>
    <row r="61" spans="1:63" ht="12.75" customHeight="1" x14ac:dyDescent="0.25">
      <c r="A61" s="63" t="s">
        <v>6</v>
      </c>
      <c r="B61" s="64" t="s">
        <v>108</v>
      </c>
      <c r="C61" s="109">
        <v>2395</v>
      </c>
      <c r="D61" s="117">
        <f t="shared" si="0"/>
        <v>2089.6375000000003</v>
      </c>
    </row>
    <row r="62" spans="1:63" s="6" customFormat="1" ht="15" customHeight="1" x14ac:dyDescent="0.25">
      <c r="A62" s="64" t="s">
        <v>165</v>
      </c>
      <c r="B62" s="64" t="s">
        <v>454</v>
      </c>
      <c r="C62" s="109">
        <v>22995</v>
      </c>
      <c r="D62" s="117">
        <f t="shared" si="0"/>
        <v>20063.137500000001</v>
      </c>
    </row>
    <row r="63" spans="1:63" s="6" customFormat="1" ht="20" customHeight="1" x14ac:dyDescent="0.25">
      <c r="A63" s="64" t="s">
        <v>166</v>
      </c>
      <c r="B63" s="64" t="s">
        <v>455</v>
      </c>
      <c r="C63" s="109">
        <v>24995</v>
      </c>
      <c r="D63" s="117">
        <f t="shared" si="0"/>
        <v>21808.137500000001</v>
      </c>
    </row>
    <row r="64" spans="1:63" ht="21" customHeight="1" x14ac:dyDescent="0.25">
      <c r="A64" s="75" t="s">
        <v>182</v>
      </c>
      <c r="B64" s="64" t="s">
        <v>456</v>
      </c>
      <c r="C64" s="109">
        <v>29995</v>
      </c>
      <c r="D64" s="117">
        <f t="shared" si="0"/>
        <v>26170.637500000001</v>
      </c>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row>
    <row r="65" spans="1:63" ht="24.5" customHeight="1" x14ac:dyDescent="0.25">
      <c r="A65" s="75" t="s">
        <v>183</v>
      </c>
      <c r="B65" s="64" t="s">
        <v>457</v>
      </c>
      <c r="C65" s="109">
        <v>31995</v>
      </c>
      <c r="D65" s="117">
        <f t="shared" si="0"/>
        <v>27915.637500000001</v>
      </c>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row>
    <row r="66" spans="1:63" ht="24" customHeight="1" x14ac:dyDescent="0.25">
      <c r="A66" s="75" t="s">
        <v>193</v>
      </c>
      <c r="B66" s="64" t="s">
        <v>458</v>
      </c>
      <c r="C66" s="109">
        <v>44995</v>
      </c>
      <c r="D66" s="117">
        <f t="shared" si="0"/>
        <v>39258.137500000004</v>
      </c>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row>
    <row r="67" spans="1:63" ht="24" customHeight="1" x14ac:dyDescent="0.25">
      <c r="A67" s="75" t="s">
        <v>194</v>
      </c>
      <c r="B67" s="64" t="s">
        <v>459</v>
      </c>
      <c r="C67" s="109">
        <v>46995</v>
      </c>
      <c r="D67" s="117">
        <f t="shared" ref="D67:D130" si="2">SUM(C67*0.8725)</f>
        <v>41003.137500000004</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row>
    <row r="68" spans="1:63" ht="12.75" customHeight="1" x14ac:dyDescent="0.25">
      <c r="A68" s="75" t="s">
        <v>195</v>
      </c>
      <c r="B68" s="64" t="s">
        <v>460</v>
      </c>
      <c r="C68" s="109">
        <v>59995</v>
      </c>
      <c r="D68" s="117">
        <f t="shared" si="2"/>
        <v>52345.637500000004</v>
      </c>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row>
    <row r="69" spans="1:63" ht="22.5" customHeight="1" x14ac:dyDescent="0.25">
      <c r="A69" s="75" t="s">
        <v>198</v>
      </c>
      <c r="B69" s="64" t="s">
        <v>461</v>
      </c>
      <c r="C69" s="109">
        <v>59995</v>
      </c>
      <c r="D69" s="117">
        <f t="shared" si="2"/>
        <v>52345.637500000004</v>
      </c>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row>
    <row r="70" spans="1:63" ht="12.75" customHeight="1" x14ac:dyDescent="0.25">
      <c r="A70" s="75" t="s">
        <v>196</v>
      </c>
      <c r="B70" s="64" t="s">
        <v>462</v>
      </c>
      <c r="C70" s="109">
        <v>44995</v>
      </c>
      <c r="D70" s="117">
        <f t="shared" si="2"/>
        <v>39258.137500000004</v>
      </c>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row>
    <row r="71" spans="1:63" ht="21" customHeight="1" x14ac:dyDescent="0.25">
      <c r="A71" s="75" t="s">
        <v>143</v>
      </c>
      <c r="B71" s="64" t="s">
        <v>463</v>
      </c>
      <c r="C71" s="109">
        <v>24995</v>
      </c>
      <c r="D71" s="117">
        <f t="shared" si="2"/>
        <v>21808.137500000001</v>
      </c>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63" ht="18" customHeight="1" x14ac:dyDescent="0.25">
      <c r="A72" s="75" t="s">
        <v>144</v>
      </c>
      <c r="B72" s="64" t="s">
        <v>464</v>
      </c>
      <c r="C72" s="109">
        <v>25995</v>
      </c>
      <c r="D72" s="117">
        <f t="shared" si="2"/>
        <v>22680.637500000001</v>
      </c>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row>
    <row r="73" spans="1:63" ht="12.75" customHeight="1" x14ac:dyDescent="0.25">
      <c r="A73" s="75" t="s">
        <v>145</v>
      </c>
      <c r="B73" s="64" t="s">
        <v>465</v>
      </c>
      <c r="C73" s="109">
        <v>14495</v>
      </c>
      <c r="D73" s="117">
        <f t="shared" si="2"/>
        <v>12646.887500000001</v>
      </c>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63" ht="20.5" customHeight="1" x14ac:dyDescent="0.25">
      <c r="A74" s="75" t="s">
        <v>146</v>
      </c>
      <c r="B74" s="64" t="s">
        <v>466</v>
      </c>
      <c r="C74" s="109">
        <v>15495</v>
      </c>
      <c r="D74" s="117">
        <f t="shared" si="2"/>
        <v>13519.387500000001</v>
      </c>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row>
    <row r="75" spans="1:63" ht="12.75" customHeight="1" x14ac:dyDescent="0.25">
      <c r="A75" s="75" t="s">
        <v>10</v>
      </c>
      <c r="B75" s="64" t="s">
        <v>467</v>
      </c>
      <c r="C75" s="109">
        <v>29995</v>
      </c>
      <c r="D75" s="117">
        <f t="shared" si="2"/>
        <v>26170.637500000001</v>
      </c>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63" ht="12.75" customHeight="1" x14ac:dyDescent="0.25">
      <c r="A76" s="75" t="s">
        <v>11</v>
      </c>
      <c r="B76" s="64" t="s">
        <v>468</v>
      </c>
      <c r="C76" s="109">
        <v>30995</v>
      </c>
      <c r="D76" s="117">
        <f t="shared" si="2"/>
        <v>27043.137500000001</v>
      </c>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row>
    <row r="77" spans="1:63" ht="21" customHeight="1" x14ac:dyDescent="0.25">
      <c r="A77" s="75" t="s">
        <v>147</v>
      </c>
      <c r="B77" s="64" t="s">
        <v>469</v>
      </c>
      <c r="C77" s="109">
        <v>49995</v>
      </c>
      <c r="D77" s="117">
        <f t="shared" si="2"/>
        <v>43620.637500000004</v>
      </c>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63" ht="20.5" customHeight="1" x14ac:dyDescent="0.25">
      <c r="A78" s="75" t="s">
        <v>148</v>
      </c>
      <c r="B78" s="64" t="s">
        <v>470</v>
      </c>
      <c r="C78" s="109">
        <v>54995</v>
      </c>
      <c r="D78" s="117">
        <f t="shared" si="2"/>
        <v>47983.137500000004</v>
      </c>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row>
    <row r="79" spans="1:63" ht="22.5" customHeight="1" x14ac:dyDescent="0.25">
      <c r="A79" s="75" t="s">
        <v>149</v>
      </c>
      <c r="B79" s="64" t="s">
        <v>471</v>
      </c>
      <c r="C79" s="109">
        <v>120000</v>
      </c>
      <c r="D79" s="117">
        <f t="shared" si="2"/>
        <v>104700</v>
      </c>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63" ht="22.5" customHeight="1" x14ac:dyDescent="0.25">
      <c r="A80" s="75" t="s">
        <v>150</v>
      </c>
      <c r="B80" s="64" t="s">
        <v>472</v>
      </c>
      <c r="C80" s="109">
        <v>125000</v>
      </c>
      <c r="D80" s="117">
        <f t="shared" si="2"/>
        <v>109062.5</v>
      </c>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ht="22.5" customHeight="1" x14ac:dyDescent="0.25">
      <c r="A81" s="75" t="s">
        <v>0</v>
      </c>
      <c r="B81" s="64" t="s">
        <v>473</v>
      </c>
      <c r="C81" s="109">
        <v>8495</v>
      </c>
      <c r="D81" s="117">
        <f t="shared" si="2"/>
        <v>7411.8875000000007</v>
      </c>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s="68" customFormat="1" ht="12.75" customHeight="1" x14ac:dyDescent="0.25">
      <c r="A82" s="63" t="s">
        <v>136</v>
      </c>
      <c r="B82" s="64" t="s">
        <v>137</v>
      </c>
      <c r="C82" s="109">
        <v>60</v>
      </c>
      <c r="D82" s="117">
        <f t="shared" si="2"/>
        <v>52.35</v>
      </c>
    </row>
    <row r="83" spans="1:63" s="68" customFormat="1" ht="12.75" customHeight="1" x14ac:dyDescent="0.25">
      <c r="A83" s="63" t="s">
        <v>109</v>
      </c>
      <c r="B83" s="64" t="s">
        <v>110</v>
      </c>
      <c r="C83" s="109">
        <v>60</v>
      </c>
      <c r="D83" s="117">
        <f t="shared" si="2"/>
        <v>52.35</v>
      </c>
    </row>
    <row r="84" spans="1:63" s="68" customFormat="1" ht="12.75" customHeight="1" x14ac:dyDescent="0.25">
      <c r="A84" s="63" t="s">
        <v>111</v>
      </c>
      <c r="B84" s="64" t="s">
        <v>112</v>
      </c>
      <c r="C84" s="109">
        <v>60</v>
      </c>
      <c r="D84" s="117">
        <f t="shared" si="2"/>
        <v>52.35</v>
      </c>
    </row>
    <row r="85" spans="1:63" s="68" customFormat="1" ht="12.75" customHeight="1" x14ac:dyDescent="0.25">
      <c r="A85" s="63" t="s">
        <v>113</v>
      </c>
      <c r="B85" s="64" t="s">
        <v>114</v>
      </c>
      <c r="C85" s="109">
        <v>60</v>
      </c>
      <c r="D85" s="117">
        <f t="shared" si="2"/>
        <v>52.35</v>
      </c>
    </row>
    <row r="86" spans="1:63" s="68" customFormat="1" ht="12.75" customHeight="1" x14ac:dyDescent="0.25">
      <c r="A86" s="70" t="s">
        <v>115</v>
      </c>
      <c r="B86" s="64" t="s">
        <v>116</v>
      </c>
      <c r="C86" s="109">
        <v>12</v>
      </c>
      <c r="D86" s="117">
        <f t="shared" si="2"/>
        <v>10.47</v>
      </c>
    </row>
    <row r="87" spans="1:63" s="68" customFormat="1" ht="12.75" customHeight="1" x14ac:dyDescent="0.25">
      <c r="A87" s="70" t="s">
        <v>87</v>
      </c>
      <c r="B87" s="64" t="s">
        <v>474</v>
      </c>
      <c r="C87" s="109">
        <v>15</v>
      </c>
      <c r="D87" s="117">
        <f t="shared" si="2"/>
        <v>13.0875</v>
      </c>
    </row>
    <row r="88" spans="1:63" ht="12.75" customHeight="1" x14ac:dyDescent="0.25">
      <c r="A88" s="70" t="s">
        <v>117</v>
      </c>
      <c r="B88" s="64" t="s">
        <v>118</v>
      </c>
      <c r="C88" s="109">
        <v>15</v>
      </c>
      <c r="D88" s="117">
        <f t="shared" si="2"/>
        <v>13.0875</v>
      </c>
    </row>
    <row r="89" spans="1:63" ht="12.75" customHeight="1" x14ac:dyDescent="0.25">
      <c r="A89" s="70" t="s">
        <v>88</v>
      </c>
      <c r="B89" s="64" t="s">
        <v>475</v>
      </c>
      <c r="C89" s="109">
        <v>17</v>
      </c>
      <c r="D89" s="117">
        <f t="shared" si="2"/>
        <v>14.832500000000001</v>
      </c>
    </row>
    <row r="90" spans="1:63" ht="12.75" customHeight="1" x14ac:dyDescent="0.25">
      <c r="A90" s="70" t="s">
        <v>119</v>
      </c>
      <c r="B90" s="64" t="s">
        <v>120</v>
      </c>
      <c r="C90" s="109">
        <v>15</v>
      </c>
      <c r="D90" s="117">
        <f t="shared" si="2"/>
        <v>13.0875</v>
      </c>
    </row>
    <row r="91" spans="1:63" ht="12.75" customHeight="1" x14ac:dyDescent="0.25">
      <c r="A91" s="70" t="s">
        <v>89</v>
      </c>
      <c r="B91" s="64" t="s">
        <v>476</v>
      </c>
      <c r="C91" s="109">
        <v>17</v>
      </c>
      <c r="D91" s="117">
        <f t="shared" si="2"/>
        <v>14.832500000000001</v>
      </c>
    </row>
    <row r="92" spans="1:63" ht="12.75" customHeight="1" x14ac:dyDescent="0.25">
      <c r="A92" s="70" t="s">
        <v>121</v>
      </c>
      <c r="B92" s="64" t="s">
        <v>122</v>
      </c>
      <c r="C92" s="109">
        <v>15</v>
      </c>
      <c r="D92" s="117">
        <f t="shared" si="2"/>
        <v>13.0875</v>
      </c>
    </row>
    <row r="93" spans="1:63" ht="12.75" customHeight="1" x14ac:dyDescent="0.25">
      <c r="A93" s="70" t="s">
        <v>90</v>
      </c>
      <c r="B93" s="64" t="s">
        <v>477</v>
      </c>
      <c r="C93" s="109">
        <v>17</v>
      </c>
      <c r="D93" s="117">
        <f t="shared" si="2"/>
        <v>14.832500000000001</v>
      </c>
    </row>
    <row r="94" spans="1:63" ht="12.75" customHeight="1" x14ac:dyDescent="0.25">
      <c r="A94" s="63" t="s">
        <v>55</v>
      </c>
      <c r="B94" s="64" t="s">
        <v>56</v>
      </c>
      <c r="C94" s="109">
        <v>15</v>
      </c>
      <c r="D94" s="117">
        <f t="shared" si="2"/>
        <v>13.0875</v>
      </c>
    </row>
    <row r="95" spans="1:63" s="78" customFormat="1" ht="12.75" customHeight="1" x14ac:dyDescent="0.25">
      <c r="A95" s="63" t="s">
        <v>57</v>
      </c>
      <c r="B95" s="64" t="s">
        <v>58</v>
      </c>
      <c r="C95" s="109">
        <v>17</v>
      </c>
      <c r="D95" s="117">
        <f t="shared" si="2"/>
        <v>14.832500000000001</v>
      </c>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row>
    <row r="96" spans="1:63" s="78" customFormat="1" ht="18" customHeight="1" x14ac:dyDescent="0.25">
      <c r="A96" s="70" t="s">
        <v>226</v>
      </c>
      <c r="B96" s="70" t="s">
        <v>478</v>
      </c>
      <c r="C96" s="110">
        <v>1995</v>
      </c>
      <c r="D96" s="117">
        <f t="shared" si="2"/>
        <v>1740.6375</v>
      </c>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row>
    <row r="97" spans="1:63" s="78" customFormat="1" ht="12.75" customHeight="1" x14ac:dyDescent="0.25">
      <c r="A97" s="75" t="s">
        <v>40</v>
      </c>
      <c r="B97" s="64" t="s">
        <v>479</v>
      </c>
      <c r="C97" s="109">
        <v>43000</v>
      </c>
      <c r="D97" s="117">
        <f t="shared" si="2"/>
        <v>37517.5</v>
      </c>
    </row>
    <row r="98" spans="1:63" s="78" customFormat="1" ht="12.75" customHeight="1" x14ac:dyDescent="0.25">
      <c r="A98" s="75" t="s">
        <v>41</v>
      </c>
      <c r="B98" s="64" t="s">
        <v>480</v>
      </c>
      <c r="C98" s="109">
        <v>48000</v>
      </c>
      <c r="D98" s="117">
        <f t="shared" si="2"/>
        <v>41880</v>
      </c>
    </row>
    <row r="99" spans="1:63" s="78" customFormat="1" ht="12.75" customHeight="1" x14ac:dyDescent="0.25">
      <c r="A99" s="75" t="s">
        <v>185</v>
      </c>
      <c r="B99" s="64" t="s">
        <v>481</v>
      </c>
      <c r="C99" s="109">
        <v>39995</v>
      </c>
      <c r="D99" s="117">
        <f t="shared" si="2"/>
        <v>34895.637500000004</v>
      </c>
    </row>
    <row r="100" spans="1:63" ht="12.75" customHeight="1" x14ac:dyDescent="0.25">
      <c r="A100" s="63" t="s">
        <v>139</v>
      </c>
      <c r="B100" s="64" t="s">
        <v>482</v>
      </c>
      <c r="C100" s="109">
        <v>4140</v>
      </c>
      <c r="D100" s="117">
        <f t="shared" si="2"/>
        <v>3612.15</v>
      </c>
    </row>
    <row r="101" spans="1:63" ht="12.75" customHeight="1" x14ac:dyDescent="0.25">
      <c r="A101" s="63" t="s">
        <v>140</v>
      </c>
      <c r="B101" s="64" t="s">
        <v>483</v>
      </c>
      <c r="C101" s="109">
        <v>5790</v>
      </c>
      <c r="D101" s="117">
        <f t="shared" si="2"/>
        <v>5051.7750000000005</v>
      </c>
    </row>
    <row r="102" spans="1:63" ht="12.75" customHeight="1" x14ac:dyDescent="0.25">
      <c r="A102" s="63" t="s">
        <v>123</v>
      </c>
      <c r="B102" s="64" t="s">
        <v>484</v>
      </c>
      <c r="C102" s="109">
        <v>2190</v>
      </c>
      <c r="D102" s="117">
        <f t="shared" si="2"/>
        <v>1910.7750000000001</v>
      </c>
    </row>
    <row r="103" spans="1:63" ht="12.75" customHeight="1" x14ac:dyDescent="0.25">
      <c r="A103" s="63" t="s">
        <v>124</v>
      </c>
      <c r="B103" s="64" t="s">
        <v>485</v>
      </c>
      <c r="C103" s="109">
        <v>3190</v>
      </c>
      <c r="D103" s="117">
        <f t="shared" si="2"/>
        <v>2783.2750000000001</v>
      </c>
    </row>
    <row r="104" spans="1:63" ht="12.75" customHeight="1" x14ac:dyDescent="0.25">
      <c r="A104" s="63" t="s">
        <v>125</v>
      </c>
      <c r="B104" s="64" t="s">
        <v>486</v>
      </c>
      <c r="C104" s="109">
        <v>4190</v>
      </c>
      <c r="D104" s="117">
        <f t="shared" si="2"/>
        <v>3655.7750000000001</v>
      </c>
    </row>
    <row r="105" spans="1:63" ht="12.75" customHeight="1" x14ac:dyDescent="0.25">
      <c r="A105" s="63" t="s">
        <v>126</v>
      </c>
      <c r="B105" s="64" t="s">
        <v>487</v>
      </c>
      <c r="C105" s="109">
        <v>6190</v>
      </c>
      <c r="D105" s="117">
        <f t="shared" si="2"/>
        <v>5400.7750000000005</v>
      </c>
    </row>
    <row r="106" spans="1:63" ht="12.75" customHeight="1" x14ac:dyDescent="0.25">
      <c r="A106" s="63" t="s">
        <v>127</v>
      </c>
      <c r="B106" s="64" t="s">
        <v>128</v>
      </c>
      <c r="C106" s="109">
        <v>595</v>
      </c>
      <c r="D106" s="117">
        <f t="shared" si="2"/>
        <v>519.13750000000005</v>
      </c>
    </row>
    <row r="107" spans="1:63" ht="12.75" customHeight="1" x14ac:dyDescent="0.25">
      <c r="A107" s="63" t="s">
        <v>129</v>
      </c>
      <c r="B107" s="64" t="s">
        <v>130</v>
      </c>
      <c r="C107" s="109">
        <v>795</v>
      </c>
      <c r="D107" s="117">
        <f t="shared" si="2"/>
        <v>693.63750000000005</v>
      </c>
    </row>
    <row r="108" spans="1:63" ht="12.75" customHeight="1" x14ac:dyDescent="0.25">
      <c r="A108" s="64" t="s">
        <v>268</v>
      </c>
      <c r="B108" s="64" t="s">
        <v>488</v>
      </c>
      <c r="C108" s="109">
        <v>595</v>
      </c>
      <c r="D108" s="117">
        <f t="shared" si="2"/>
        <v>519.13750000000005</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ht="12.75" customHeight="1" x14ac:dyDescent="0.25">
      <c r="A109" s="64" t="s">
        <v>269</v>
      </c>
      <c r="B109" s="64" t="s">
        <v>489</v>
      </c>
      <c r="C109" s="109">
        <v>1495</v>
      </c>
      <c r="D109" s="117">
        <f t="shared" si="2"/>
        <v>1304.3875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ht="12.75" customHeight="1" x14ac:dyDescent="0.25">
      <c r="A110" s="64" t="s">
        <v>270</v>
      </c>
      <c r="B110" s="64" t="s">
        <v>490</v>
      </c>
      <c r="C110" s="109">
        <v>895</v>
      </c>
      <c r="D110" s="117">
        <f t="shared" si="2"/>
        <v>780.88750000000005</v>
      </c>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ht="12.75" customHeight="1" x14ac:dyDescent="0.25">
      <c r="A111" s="64" t="s">
        <v>17</v>
      </c>
      <c r="B111" s="64" t="s">
        <v>69</v>
      </c>
      <c r="C111" s="109">
        <v>495</v>
      </c>
      <c r="D111" s="117">
        <f t="shared" si="2"/>
        <v>431.88750000000005</v>
      </c>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ht="12.75" customHeight="1" x14ac:dyDescent="0.25">
      <c r="A112" s="64" t="s">
        <v>18</v>
      </c>
      <c r="B112" s="71" t="s">
        <v>70</v>
      </c>
      <c r="C112" s="109">
        <v>595</v>
      </c>
      <c r="D112" s="117">
        <f t="shared" si="2"/>
        <v>519.13750000000005</v>
      </c>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ht="12.75" customHeight="1" x14ac:dyDescent="0.25">
      <c r="A113" s="64" t="s">
        <v>22</v>
      </c>
      <c r="B113" s="64" t="s">
        <v>23</v>
      </c>
      <c r="C113" s="109">
        <v>1095</v>
      </c>
      <c r="D113" s="117">
        <f t="shared" si="2"/>
        <v>955.38750000000005</v>
      </c>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ht="12.75" customHeight="1" x14ac:dyDescent="0.25">
      <c r="A114" s="64" t="s">
        <v>24</v>
      </c>
      <c r="B114" s="64" t="s">
        <v>25</v>
      </c>
      <c r="C114" s="109">
        <v>1395</v>
      </c>
      <c r="D114" s="117">
        <f t="shared" si="2"/>
        <v>1217.1375</v>
      </c>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ht="12.75" customHeight="1" x14ac:dyDescent="0.25">
      <c r="A115" s="64" t="s">
        <v>42</v>
      </c>
      <c r="B115" s="64" t="s">
        <v>43</v>
      </c>
      <c r="C115" s="109">
        <v>2200</v>
      </c>
      <c r="D115" s="117">
        <f t="shared" si="2"/>
        <v>1919.5000000000002</v>
      </c>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ht="12.75" customHeight="1" x14ac:dyDescent="0.25">
      <c r="A116" s="64" t="s">
        <v>44</v>
      </c>
      <c r="B116" s="64" t="s">
        <v>45</v>
      </c>
      <c r="C116" s="109">
        <v>3200</v>
      </c>
      <c r="D116" s="117">
        <f t="shared" si="2"/>
        <v>2792</v>
      </c>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ht="12.75" customHeight="1" x14ac:dyDescent="0.25">
      <c r="A117" s="64" t="s">
        <v>271</v>
      </c>
      <c r="B117" s="64" t="s">
        <v>491</v>
      </c>
      <c r="C117" s="109">
        <v>3500</v>
      </c>
      <c r="D117" s="117">
        <f t="shared" si="2"/>
        <v>3053.75</v>
      </c>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ht="12.75" customHeight="1" x14ac:dyDescent="0.25">
      <c r="A118" s="64" t="s">
        <v>272</v>
      </c>
      <c r="B118" s="64" t="s">
        <v>492</v>
      </c>
      <c r="C118" s="109">
        <v>3600</v>
      </c>
      <c r="D118" s="117">
        <f t="shared" si="2"/>
        <v>3141</v>
      </c>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ht="12.75" customHeight="1" x14ac:dyDescent="0.25">
      <c r="A119" s="64" t="s">
        <v>244</v>
      </c>
      <c r="B119" s="64" t="s">
        <v>493</v>
      </c>
      <c r="C119" s="109">
        <v>6000</v>
      </c>
      <c r="D119" s="117">
        <f t="shared" si="2"/>
        <v>5235</v>
      </c>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ht="12.75" customHeight="1" x14ac:dyDescent="0.25">
      <c r="A120" s="64" t="s">
        <v>245</v>
      </c>
      <c r="B120" s="64" t="s">
        <v>494</v>
      </c>
      <c r="C120" s="109">
        <v>3495</v>
      </c>
      <c r="D120" s="117">
        <f t="shared" si="2"/>
        <v>3049.3875000000003</v>
      </c>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ht="12.75" customHeight="1" x14ac:dyDescent="0.25">
      <c r="A121" s="63" t="s">
        <v>246</v>
      </c>
      <c r="B121" s="63" t="s">
        <v>495</v>
      </c>
      <c r="C121" s="110">
        <v>12995</v>
      </c>
      <c r="D121" s="117">
        <f t="shared" si="2"/>
        <v>11338.137500000001</v>
      </c>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ht="12.75" customHeight="1" x14ac:dyDescent="0.25">
      <c r="A122" s="63" t="s">
        <v>20</v>
      </c>
      <c r="B122" s="63" t="s">
        <v>21</v>
      </c>
      <c r="C122" s="110">
        <v>1495</v>
      </c>
      <c r="D122" s="117">
        <f t="shared" si="2"/>
        <v>1304.3875</v>
      </c>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ht="12.75" customHeight="1" x14ac:dyDescent="0.25">
      <c r="A123" s="63" t="s">
        <v>250</v>
      </c>
      <c r="B123" s="63" t="s">
        <v>496</v>
      </c>
      <c r="C123" s="110">
        <v>1495</v>
      </c>
      <c r="D123" s="117">
        <f t="shared" si="2"/>
        <v>1304.3875</v>
      </c>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ht="12.75" customHeight="1" x14ac:dyDescent="0.25">
      <c r="A124" s="63" t="s">
        <v>74</v>
      </c>
      <c r="B124" s="63" t="s">
        <v>497</v>
      </c>
      <c r="C124" s="110">
        <v>2995</v>
      </c>
      <c r="D124" s="117">
        <f t="shared" si="2"/>
        <v>2613.1375000000003</v>
      </c>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ht="12.75" customHeight="1" x14ac:dyDescent="0.25">
      <c r="A125" s="63" t="s">
        <v>75</v>
      </c>
      <c r="B125" s="63" t="s">
        <v>91</v>
      </c>
      <c r="C125" s="109">
        <v>9995</v>
      </c>
      <c r="D125" s="117">
        <f t="shared" si="2"/>
        <v>8720.6375000000007</v>
      </c>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ht="12.75" customHeight="1" x14ac:dyDescent="0.25">
      <c r="A126" s="63" t="s">
        <v>251</v>
      </c>
      <c r="B126" s="63" t="s">
        <v>498</v>
      </c>
      <c r="C126" s="110">
        <v>14995</v>
      </c>
      <c r="D126" s="117">
        <f t="shared" si="2"/>
        <v>13083.137500000001</v>
      </c>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ht="12.75" customHeight="1" x14ac:dyDescent="0.25">
      <c r="A127" s="63" t="s">
        <v>252</v>
      </c>
      <c r="B127" s="63" t="s">
        <v>499</v>
      </c>
      <c r="C127" s="109">
        <v>22495</v>
      </c>
      <c r="D127" s="117">
        <f t="shared" si="2"/>
        <v>19626.887500000001</v>
      </c>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ht="12.75" customHeight="1" x14ac:dyDescent="0.25">
      <c r="A128" s="63" t="s">
        <v>255</v>
      </c>
      <c r="B128" s="63" t="s">
        <v>500</v>
      </c>
      <c r="C128" s="110">
        <v>3995</v>
      </c>
      <c r="D128" s="117">
        <f t="shared" si="2"/>
        <v>3485.6375000000003</v>
      </c>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1:63" ht="12.75" customHeight="1" x14ac:dyDescent="0.25">
      <c r="A129" s="64" t="s">
        <v>61</v>
      </c>
      <c r="B129" s="64" t="s">
        <v>501</v>
      </c>
      <c r="C129" s="109">
        <v>68</v>
      </c>
      <c r="D129" s="117">
        <f t="shared" si="2"/>
        <v>59.330000000000005</v>
      </c>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1:63" ht="12.75" customHeight="1" x14ac:dyDescent="0.25">
      <c r="A130" s="63" t="s">
        <v>134</v>
      </c>
      <c r="B130" s="64" t="s">
        <v>138</v>
      </c>
      <c r="C130" s="109">
        <v>240</v>
      </c>
      <c r="D130" s="117">
        <f t="shared" si="2"/>
        <v>209.4</v>
      </c>
    </row>
    <row r="131" spans="1:63" ht="12.75" customHeight="1" x14ac:dyDescent="0.25">
      <c r="A131" s="63" t="s">
        <v>76</v>
      </c>
      <c r="B131" s="63" t="s">
        <v>502</v>
      </c>
      <c r="C131" s="110">
        <v>195</v>
      </c>
      <c r="D131" s="117">
        <f t="shared" ref="D131:D194" si="3">SUM(C131*0.8725)</f>
        <v>170.13750000000002</v>
      </c>
    </row>
    <row r="132" spans="1:63" ht="12.75" customHeight="1" x14ac:dyDescent="0.25">
      <c r="A132" s="63" t="s">
        <v>77</v>
      </c>
      <c r="B132" s="64" t="s">
        <v>503</v>
      </c>
      <c r="C132" s="109">
        <v>195</v>
      </c>
      <c r="D132" s="117">
        <f t="shared" si="3"/>
        <v>170.13750000000002</v>
      </c>
    </row>
    <row r="133" spans="1:63" ht="12.75" customHeight="1" x14ac:dyDescent="0.25">
      <c r="A133" s="64" t="s">
        <v>78</v>
      </c>
      <c r="B133" s="64" t="s">
        <v>504</v>
      </c>
      <c r="C133" s="109">
        <v>245</v>
      </c>
      <c r="D133" s="117">
        <f t="shared" si="3"/>
        <v>213.76250000000002</v>
      </c>
    </row>
    <row r="134" spans="1:63" ht="12.75" customHeight="1" x14ac:dyDescent="0.25">
      <c r="A134" s="63" t="s">
        <v>66</v>
      </c>
      <c r="B134" s="63" t="s">
        <v>505</v>
      </c>
      <c r="C134" s="110">
        <v>795</v>
      </c>
      <c r="D134" s="117">
        <f t="shared" si="3"/>
        <v>693.63750000000005</v>
      </c>
    </row>
    <row r="135" spans="1:63" ht="12.75" customHeight="1" x14ac:dyDescent="0.25">
      <c r="A135" s="63" t="s">
        <v>67</v>
      </c>
      <c r="B135" s="63" t="s">
        <v>506</v>
      </c>
      <c r="C135" s="110">
        <v>1245</v>
      </c>
      <c r="D135" s="117">
        <f t="shared" si="3"/>
        <v>1086.2625</v>
      </c>
    </row>
    <row r="136" spans="1:63" ht="12.75" customHeight="1" x14ac:dyDescent="0.25">
      <c r="A136" s="63" t="s">
        <v>256</v>
      </c>
      <c r="B136" s="63" t="s">
        <v>507</v>
      </c>
      <c r="C136" s="110">
        <v>6995</v>
      </c>
      <c r="D136" s="117">
        <f t="shared" si="3"/>
        <v>6103.1375000000007</v>
      </c>
    </row>
    <row r="137" spans="1:63" ht="12.75" customHeight="1" x14ac:dyDescent="0.25">
      <c r="A137" s="64" t="s">
        <v>257</v>
      </c>
      <c r="B137" s="64" t="s">
        <v>508</v>
      </c>
      <c r="C137" s="109">
        <v>11995</v>
      </c>
      <c r="D137" s="117">
        <f t="shared" si="3"/>
        <v>10465.637500000001</v>
      </c>
    </row>
    <row r="138" spans="1:63" ht="12.75" customHeight="1" x14ac:dyDescent="0.25">
      <c r="A138" s="63" t="s">
        <v>68</v>
      </c>
      <c r="B138" s="64" t="s">
        <v>509</v>
      </c>
      <c r="C138" s="109">
        <v>3250</v>
      </c>
      <c r="D138" s="117">
        <f t="shared" si="3"/>
        <v>2835.625</v>
      </c>
    </row>
    <row r="139" spans="1:63" ht="12.75" customHeight="1" x14ac:dyDescent="0.25">
      <c r="A139" s="63" t="s">
        <v>79</v>
      </c>
      <c r="B139" s="64" t="s">
        <v>510</v>
      </c>
      <c r="C139" s="109">
        <v>1245</v>
      </c>
      <c r="D139" s="117">
        <f t="shared" si="3"/>
        <v>1086.2625</v>
      </c>
    </row>
    <row r="140" spans="1:63" ht="13.25" customHeight="1" x14ac:dyDescent="0.25">
      <c r="A140" s="63" t="s">
        <v>511</v>
      </c>
      <c r="B140" s="64" t="s">
        <v>512</v>
      </c>
      <c r="C140" s="109">
        <v>4995</v>
      </c>
      <c r="D140" s="117">
        <f t="shared" si="3"/>
        <v>4358.1374999999998</v>
      </c>
    </row>
    <row r="141" spans="1:63" s="6" customFormat="1" ht="19" customHeight="1" x14ac:dyDescent="0.25">
      <c r="A141" s="64" t="s">
        <v>169</v>
      </c>
      <c r="B141" s="64" t="s">
        <v>513</v>
      </c>
      <c r="C141" s="109">
        <v>3995</v>
      </c>
      <c r="D141" s="117">
        <f t="shared" si="3"/>
        <v>3485.6375000000003</v>
      </c>
    </row>
    <row r="142" spans="1:63" s="6" customFormat="1" ht="15" customHeight="1" x14ac:dyDescent="0.25">
      <c r="A142" s="64" t="s">
        <v>170</v>
      </c>
      <c r="B142" s="64" t="s">
        <v>514</v>
      </c>
      <c r="C142" s="109">
        <v>7495</v>
      </c>
      <c r="D142" s="117">
        <f t="shared" si="3"/>
        <v>6539.3875000000007</v>
      </c>
    </row>
    <row r="143" spans="1:63" s="6" customFormat="1" ht="15" customHeight="1" x14ac:dyDescent="0.25">
      <c r="A143" s="64" t="s">
        <v>171</v>
      </c>
      <c r="B143" s="64" t="s">
        <v>515</v>
      </c>
      <c r="C143" s="109">
        <v>2995</v>
      </c>
      <c r="D143" s="117">
        <f t="shared" si="3"/>
        <v>2613.1375000000003</v>
      </c>
    </row>
    <row r="144" spans="1:63" s="6" customFormat="1" ht="20" customHeight="1" x14ac:dyDescent="0.25">
      <c r="A144" s="64" t="s">
        <v>172</v>
      </c>
      <c r="B144" s="64" t="s">
        <v>516</v>
      </c>
      <c r="C144" s="109">
        <v>2495</v>
      </c>
      <c r="D144" s="117">
        <f t="shared" si="3"/>
        <v>2176.8875000000003</v>
      </c>
    </row>
    <row r="145" spans="1:63" s="6" customFormat="1" ht="15" customHeight="1" x14ac:dyDescent="0.25">
      <c r="A145" s="64" t="s">
        <v>173</v>
      </c>
      <c r="B145" s="64" t="s">
        <v>517</v>
      </c>
      <c r="C145" s="109">
        <v>7495</v>
      </c>
      <c r="D145" s="117">
        <f t="shared" si="3"/>
        <v>6539.3875000000007</v>
      </c>
    </row>
    <row r="146" spans="1:63" s="6" customFormat="1" ht="15" customHeight="1" x14ac:dyDescent="0.25">
      <c r="A146" s="64" t="s">
        <v>174</v>
      </c>
      <c r="B146" s="64" t="s">
        <v>518</v>
      </c>
      <c r="C146" s="109">
        <v>9995</v>
      </c>
      <c r="D146" s="117">
        <f t="shared" si="3"/>
        <v>8720.6375000000007</v>
      </c>
    </row>
    <row r="147" spans="1:63" s="6" customFormat="1" ht="15" customHeight="1" x14ac:dyDescent="0.25">
      <c r="A147" s="64" t="s">
        <v>175</v>
      </c>
      <c r="B147" s="64" t="s">
        <v>519</v>
      </c>
      <c r="C147" s="109">
        <v>7495</v>
      </c>
      <c r="D147" s="117">
        <f t="shared" si="3"/>
        <v>6539.3875000000007</v>
      </c>
    </row>
    <row r="148" spans="1:63" s="6" customFormat="1" ht="21.5" customHeight="1" x14ac:dyDescent="0.25">
      <c r="A148" s="64" t="s">
        <v>176</v>
      </c>
      <c r="B148" s="64" t="s">
        <v>520</v>
      </c>
      <c r="C148" s="109">
        <v>4995</v>
      </c>
      <c r="D148" s="117">
        <f t="shared" si="3"/>
        <v>4358.1374999999998</v>
      </c>
    </row>
    <row r="149" spans="1:63" s="6" customFormat="1" ht="15" customHeight="1" x14ac:dyDescent="0.25">
      <c r="A149" s="64" t="s">
        <v>177</v>
      </c>
      <c r="B149" s="64" t="s">
        <v>521</v>
      </c>
      <c r="C149" s="109">
        <v>8995</v>
      </c>
      <c r="D149" s="117">
        <f t="shared" si="3"/>
        <v>7848.1375000000007</v>
      </c>
    </row>
    <row r="150" spans="1:63" s="78" customFormat="1" ht="22.5" customHeight="1" x14ac:dyDescent="0.25">
      <c r="A150" s="64" t="s">
        <v>46</v>
      </c>
      <c r="B150" s="64" t="s">
        <v>522</v>
      </c>
      <c r="C150" s="109">
        <v>24000</v>
      </c>
      <c r="D150" s="117">
        <f t="shared" si="3"/>
        <v>20940</v>
      </c>
    </row>
    <row r="151" spans="1:63" s="78" customFormat="1" ht="22.5" customHeight="1" x14ac:dyDescent="0.25">
      <c r="A151" s="64" t="s">
        <v>34</v>
      </c>
      <c r="B151" s="64" t="s">
        <v>523</v>
      </c>
      <c r="C151" s="109">
        <v>28995</v>
      </c>
      <c r="D151" s="117">
        <f t="shared" si="3"/>
        <v>25298.137500000001</v>
      </c>
    </row>
    <row r="152" spans="1:63" s="78" customFormat="1" ht="16.5" customHeight="1" x14ac:dyDescent="0.25">
      <c r="A152" s="64" t="s">
        <v>28</v>
      </c>
      <c r="B152" s="64" t="s">
        <v>524</v>
      </c>
      <c r="C152" s="109">
        <v>14995</v>
      </c>
      <c r="D152" s="117">
        <f t="shared" si="3"/>
        <v>13083.137500000001</v>
      </c>
    </row>
    <row r="153" spans="1:63" ht="12.75" customHeight="1" x14ac:dyDescent="0.25">
      <c r="A153" s="64" t="s">
        <v>47</v>
      </c>
      <c r="B153" s="64" t="s">
        <v>525</v>
      </c>
      <c r="C153" s="109">
        <v>5995</v>
      </c>
      <c r="D153" s="117">
        <f t="shared" si="3"/>
        <v>5230.6375000000007</v>
      </c>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row>
    <row r="154" spans="1:63" s="78" customFormat="1" ht="12.75" customHeight="1" x14ac:dyDescent="0.25">
      <c r="A154" s="64" t="s">
        <v>48</v>
      </c>
      <c r="B154" s="64" t="s">
        <v>526</v>
      </c>
      <c r="C154" s="109">
        <v>4995</v>
      </c>
      <c r="D154" s="117">
        <f t="shared" si="3"/>
        <v>4358.1374999999998</v>
      </c>
    </row>
    <row r="155" spans="1:63" s="78" customFormat="1" ht="19" customHeight="1" x14ac:dyDescent="0.25">
      <c r="A155" s="64" t="s">
        <v>26</v>
      </c>
      <c r="B155" s="64" t="s">
        <v>527</v>
      </c>
      <c r="C155" s="109">
        <v>17995</v>
      </c>
      <c r="D155" s="117">
        <f t="shared" si="3"/>
        <v>15700.637500000001</v>
      </c>
    </row>
    <row r="156" spans="1:63" s="78" customFormat="1" ht="22.5" customHeight="1" x14ac:dyDescent="0.25">
      <c r="A156" s="64" t="s">
        <v>187</v>
      </c>
      <c r="B156" s="64" t="s">
        <v>528</v>
      </c>
      <c r="C156" s="109">
        <v>29995</v>
      </c>
      <c r="D156" s="117">
        <f t="shared" si="3"/>
        <v>26170.637500000001</v>
      </c>
    </row>
    <row r="157" spans="1:63" s="78" customFormat="1" ht="18.649999999999999" customHeight="1" x14ac:dyDescent="0.25">
      <c r="A157" s="64" t="s">
        <v>188</v>
      </c>
      <c r="B157" s="64" t="s">
        <v>529</v>
      </c>
      <c r="C157" s="109">
        <v>11995</v>
      </c>
      <c r="D157" s="117">
        <f t="shared" si="3"/>
        <v>10465.637500000001</v>
      </c>
    </row>
    <row r="158" spans="1:63" s="78" customFormat="1" ht="21" customHeight="1" x14ac:dyDescent="0.25">
      <c r="A158" s="64" t="s">
        <v>199</v>
      </c>
      <c r="B158" s="64" t="s">
        <v>530</v>
      </c>
      <c r="C158" s="109">
        <v>29995</v>
      </c>
      <c r="D158" s="117">
        <f t="shared" si="3"/>
        <v>26170.637500000001</v>
      </c>
    </row>
    <row r="159" spans="1:63" s="78" customFormat="1" ht="12.75" customHeight="1" x14ac:dyDescent="0.25">
      <c r="A159" s="64" t="s">
        <v>200</v>
      </c>
      <c r="B159" s="64" t="s">
        <v>531</v>
      </c>
      <c r="C159" s="109">
        <v>11995</v>
      </c>
      <c r="D159" s="117">
        <f t="shared" si="3"/>
        <v>10465.637500000001</v>
      </c>
    </row>
    <row r="160" spans="1:63" s="78" customFormat="1" ht="12.75" customHeight="1" x14ac:dyDescent="0.25">
      <c r="A160" s="64" t="s">
        <v>201</v>
      </c>
      <c r="B160" s="64" t="s">
        <v>532</v>
      </c>
      <c r="C160" s="109">
        <v>9995</v>
      </c>
      <c r="D160" s="117">
        <f t="shared" si="3"/>
        <v>8720.6375000000007</v>
      </c>
    </row>
    <row r="161" spans="1:63" s="78" customFormat="1" ht="12.75" customHeight="1" x14ac:dyDescent="0.25">
      <c r="A161" s="64" t="s">
        <v>202</v>
      </c>
      <c r="B161" s="64" t="s">
        <v>533</v>
      </c>
      <c r="C161" s="109">
        <v>39995</v>
      </c>
      <c r="D161" s="117">
        <f t="shared" si="3"/>
        <v>34895.637500000004</v>
      </c>
    </row>
    <row r="162" spans="1:63" s="78" customFormat="1" ht="20.5" customHeight="1" x14ac:dyDescent="0.25">
      <c r="A162" s="64" t="s">
        <v>203</v>
      </c>
      <c r="B162" s="64" t="s">
        <v>534</v>
      </c>
      <c r="C162" s="109">
        <v>29995</v>
      </c>
      <c r="D162" s="117">
        <f t="shared" si="3"/>
        <v>26170.637500000001</v>
      </c>
    </row>
    <row r="163" spans="1:63" s="78" customFormat="1" ht="17" customHeight="1" x14ac:dyDescent="0.25">
      <c r="A163" s="64" t="s">
        <v>204</v>
      </c>
      <c r="B163" s="64" t="s">
        <v>535</v>
      </c>
      <c r="C163" s="109">
        <v>19995</v>
      </c>
      <c r="D163" s="117">
        <f t="shared" si="3"/>
        <v>17445.637500000001</v>
      </c>
    </row>
    <row r="164" spans="1:63" s="78" customFormat="1" ht="12.75" customHeight="1" x14ac:dyDescent="0.25">
      <c r="A164" s="64" t="s">
        <v>205</v>
      </c>
      <c r="B164" s="64" t="s">
        <v>536</v>
      </c>
      <c r="C164" s="109">
        <v>29995</v>
      </c>
      <c r="D164" s="117">
        <f t="shared" si="3"/>
        <v>26170.637500000001</v>
      </c>
    </row>
    <row r="165" spans="1:63" s="78" customFormat="1" ht="21.5" customHeight="1" x14ac:dyDescent="0.25">
      <c r="A165" s="64" t="s">
        <v>206</v>
      </c>
      <c r="B165" s="64" t="s">
        <v>537</v>
      </c>
      <c r="C165" s="109">
        <v>35995</v>
      </c>
      <c r="D165" s="117">
        <f t="shared" si="3"/>
        <v>31405.637500000001</v>
      </c>
    </row>
    <row r="166" spans="1:63" s="78" customFormat="1" ht="20.399999999999999" customHeight="1" x14ac:dyDescent="0.25">
      <c r="A166" s="63" t="s">
        <v>207</v>
      </c>
      <c r="B166" s="76" t="s">
        <v>538</v>
      </c>
      <c r="C166" s="110">
        <v>44995</v>
      </c>
      <c r="D166" s="117">
        <f t="shared" si="3"/>
        <v>39258.137500000004</v>
      </c>
    </row>
    <row r="167" spans="1:63" s="78" customFormat="1" ht="22.5" customHeight="1" x14ac:dyDescent="0.25">
      <c r="A167" s="64" t="s">
        <v>208</v>
      </c>
      <c r="B167" s="64" t="s">
        <v>539</v>
      </c>
      <c r="C167" s="109">
        <v>79995</v>
      </c>
      <c r="D167" s="117">
        <f t="shared" si="3"/>
        <v>69795.637499999997</v>
      </c>
    </row>
    <row r="168" spans="1:63" s="78" customFormat="1" ht="12.75" customHeight="1" x14ac:dyDescent="0.25">
      <c r="A168" s="64" t="s">
        <v>49</v>
      </c>
      <c r="B168" s="64" t="s">
        <v>540</v>
      </c>
      <c r="C168" s="109">
        <v>19995</v>
      </c>
      <c r="D168" s="117">
        <f t="shared" si="3"/>
        <v>17445.637500000001</v>
      </c>
    </row>
    <row r="169" spans="1:63" s="78" customFormat="1" ht="21" customHeight="1" x14ac:dyDescent="0.25">
      <c r="A169" s="64" t="s">
        <v>29</v>
      </c>
      <c r="B169" s="64" t="s">
        <v>541</v>
      </c>
      <c r="C169" s="109">
        <v>14995</v>
      </c>
      <c r="D169" s="117">
        <f t="shared" si="3"/>
        <v>13083.137500000001</v>
      </c>
    </row>
    <row r="170" spans="1:63" s="78" customFormat="1" ht="24.5" customHeight="1" x14ac:dyDescent="0.25">
      <c r="A170" s="64" t="s">
        <v>186</v>
      </c>
      <c r="B170" s="64" t="s">
        <v>542</v>
      </c>
      <c r="C170" s="109">
        <v>9995</v>
      </c>
      <c r="D170" s="117">
        <f t="shared" si="3"/>
        <v>8720.6375000000007</v>
      </c>
    </row>
    <row r="171" spans="1:63" s="78" customFormat="1" ht="12.75" customHeight="1" x14ac:dyDescent="0.25">
      <c r="A171" s="64" t="s">
        <v>30</v>
      </c>
      <c r="B171" s="64" t="s">
        <v>543</v>
      </c>
      <c r="C171" s="109">
        <v>14995</v>
      </c>
      <c r="D171" s="117">
        <f t="shared" si="3"/>
        <v>13083.137500000001</v>
      </c>
    </row>
    <row r="172" spans="1:63" s="78" customFormat="1" ht="22.5" customHeight="1" x14ac:dyDescent="0.25">
      <c r="A172" s="64" t="s">
        <v>50</v>
      </c>
      <c r="B172" s="64" t="s">
        <v>544</v>
      </c>
      <c r="C172" s="109">
        <v>19995</v>
      </c>
      <c r="D172" s="117">
        <f t="shared" si="3"/>
        <v>17445.637500000001</v>
      </c>
    </row>
    <row r="173" spans="1:63" s="78" customFormat="1" ht="22.5" customHeight="1" x14ac:dyDescent="0.25">
      <c r="A173" s="64" t="s">
        <v>51</v>
      </c>
      <c r="B173" s="64" t="s">
        <v>545</v>
      </c>
      <c r="C173" s="109">
        <v>29995</v>
      </c>
      <c r="D173" s="117">
        <f t="shared" si="3"/>
        <v>26170.637500000001</v>
      </c>
    </row>
    <row r="174" spans="1:63" s="78" customFormat="1" ht="22.5" customHeight="1" x14ac:dyDescent="0.25">
      <c r="A174" s="64" t="s">
        <v>52</v>
      </c>
      <c r="B174" s="64" t="s">
        <v>546</v>
      </c>
      <c r="C174" s="109">
        <v>39995</v>
      </c>
      <c r="D174" s="117">
        <f t="shared" si="3"/>
        <v>34895.637500000004</v>
      </c>
    </row>
    <row r="175" spans="1:63" ht="26" customHeight="1" x14ac:dyDescent="0.25">
      <c r="A175" s="64" t="s">
        <v>211</v>
      </c>
      <c r="B175" s="64" t="s">
        <v>547</v>
      </c>
      <c r="C175" s="109">
        <v>295</v>
      </c>
      <c r="D175" s="117">
        <f t="shared" si="3"/>
        <v>257.38749999999999</v>
      </c>
    </row>
    <row r="176" spans="1:63" s="67" customFormat="1" ht="24" customHeight="1" x14ac:dyDescent="0.25">
      <c r="A176" s="63" t="s">
        <v>212</v>
      </c>
      <c r="B176" s="64" t="s">
        <v>548</v>
      </c>
      <c r="C176" s="109">
        <v>1095</v>
      </c>
      <c r="D176" s="117">
        <f t="shared" si="3"/>
        <v>955.38750000000005</v>
      </c>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row>
    <row r="177" spans="1:63" s="67" customFormat="1" ht="22" customHeight="1" x14ac:dyDescent="0.25">
      <c r="A177" s="64" t="s">
        <v>94</v>
      </c>
      <c r="B177" s="64" t="s">
        <v>549</v>
      </c>
      <c r="C177" s="109">
        <v>1095</v>
      </c>
      <c r="D177" s="117">
        <f t="shared" si="3"/>
        <v>955.38750000000005</v>
      </c>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row>
    <row r="178" spans="1:63" s="67" customFormat="1" ht="22.5" customHeight="1" x14ac:dyDescent="0.25">
      <c r="A178" s="64" t="s">
        <v>133</v>
      </c>
      <c r="B178" s="64" t="s">
        <v>550</v>
      </c>
      <c r="C178" s="109">
        <v>1095</v>
      </c>
      <c r="D178" s="117">
        <f t="shared" si="3"/>
        <v>955.38750000000005</v>
      </c>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row>
    <row r="179" spans="1:63" ht="22.5" customHeight="1" x14ac:dyDescent="0.25">
      <c r="A179" s="64" t="s">
        <v>95</v>
      </c>
      <c r="B179" s="64" t="s">
        <v>551</v>
      </c>
      <c r="C179" s="109">
        <v>1095</v>
      </c>
      <c r="D179" s="117">
        <f t="shared" si="3"/>
        <v>955.38750000000005</v>
      </c>
    </row>
    <row r="180" spans="1:63" ht="12.75" customHeight="1" x14ac:dyDescent="0.25">
      <c r="A180" s="64" t="s">
        <v>141</v>
      </c>
      <c r="B180" s="64" t="s">
        <v>552</v>
      </c>
      <c r="C180" s="109">
        <v>1095</v>
      </c>
      <c r="D180" s="117">
        <f t="shared" si="3"/>
        <v>955.38750000000005</v>
      </c>
    </row>
    <row r="181" spans="1:63" s="73" customFormat="1" ht="22.5" customHeight="1" x14ac:dyDescent="0.25">
      <c r="A181" s="64" t="s">
        <v>213</v>
      </c>
      <c r="B181" s="64" t="s">
        <v>553</v>
      </c>
      <c r="C181" s="109">
        <v>1095</v>
      </c>
      <c r="D181" s="117">
        <f t="shared" si="3"/>
        <v>955.38750000000005</v>
      </c>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row>
    <row r="182" spans="1:63" s="73" customFormat="1" ht="28" customHeight="1" x14ac:dyDescent="0.25">
      <c r="A182" s="63" t="s">
        <v>96</v>
      </c>
      <c r="B182" s="64" t="s">
        <v>554</v>
      </c>
      <c r="C182" s="109">
        <v>1095</v>
      </c>
      <c r="D182" s="117">
        <f t="shared" si="3"/>
        <v>955.38750000000005</v>
      </c>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row>
    <row r="183" spans="1:63" s="6" customFormat="1" ht="15" customHeight="1" x14ac:dyDescent="0.25">
      <c r="A183" s="64" t="s">
        <v>168</v>
      </c>
      <c r="B183" s="64" t="s">
        <v>555</v>
      </c>
      <c r="C183" s="109">
        <v>6995</v>
      </c>
      <c r="D183" s="117">
        <f t="shared" si="3"/>
        <v>6103.1375000000007</v>
      </c>
    </row>
    <row r="184" spans="1:63" s="73" customFormat="1" ht="12.75" customHeight="1" x14ac:dyDescent="0.25">
      <c r="A184" s="64" t="s">
        <v>53</v>
      </c>
      <c r="B184" s="64" t="s">
        <v>556</v>
      </c>
      <c r="C184" s="109">
        <v>40000</v>
      </c>
      <c r="D184" s="117">
        <f t="shared" si="3"/>
        <v>34900</v>
      </c>
    </row>
    <row r="185" spans="1:63" s="73" customFormat="1" ht="12.75" customHeight="1" x14ac:dyDescent="0.25">
      <c r="A185" s="64" t="s">
        <v>27</v>
      </c>
      <c r="B185" s="64" t="s">
        <v>557</v>
      </c>
      <c r="C185" s="109">
        <v>36000</v>
      </c>
      <c r="D185" s="117">
        <f t="shared" si="3"/>
        <v>31410.000000000004</v>
      </c>
    </row>
    <row r="186" spans="1:63" s="62" customFormat="1" ht="11.25" customHeight="1" x14ac:dyDescent="0.25">
      <c r="A186" s="64" t="s">
        <v>54</v>
      </c>
      <c r="B186" s="64" t="s">
        <v>558</v>
      </c>
      <c r="C186" s="109">
        <v>50000</v>
      </c>
      <c r="D186" s="117">
        <f t="shared" si="3"/>
        <v>43625</v>
      </c>
    </row>
    <row r="187" spans="1:63" s="62" customFormat="1" ht="11.25" customHeight="1" x14ac:dyDescent="0.25">
      <c r="A187" s="64" t="s">
        <v>12</v>
      </c>
      <c r="B187" s="64" t="s">
        <v>559</v>
      </c>
      <c r="C187" s="109">
        <v>21000</v>
      </c>
      <c r="D187" s="117">
        <f t="shared" si="3"/>
        <v>18322.5</v>
      </c>
    </row>
    <row r="188" spans="1:63" s="62" customFormat="1" ht="15.65" customHeight="1" x14ac:dyDescent="0.25">
      <c r="A188" s="64" t="s">
        <v>214</v>
      </c>
      <c r="B188" s="64" t="s">
        <v>560</v>
      </c>
      <c r="C188" s="109">
        <v>495</v>
      </c>
      <c r="D188" s="117">
        <f t="shared" si="3"/>
        <v>431.88750000000005</v>
      </c>
    </row>
    <row r="189" spans="1:63" s="62" customFormat="1" ht="22.5" customHeight="1" x14ac:dyDescent="0.25">
      <c r="A189" s="63" t="s">
        <v>215</v>
      </c>
      <c r="B189" s="64" t="s">
        <v>561</v>
      </c>
      <c r="C189" s="109">
        <v>3995</v>
      </c>
      <c r="D189" s="117">
        <f t="shared" si="3"/>
        <v>3485.6375000000003</v>
      </c>
    </row>
    <row r="190" spans="1:63" s="62" customFormat="1" ht="22.5" customHeight="1" x14ac:dyDescent="0.25">
      <c r="A190" s="63" t="s">
        <v>216</v>
      </c>
      <c r="B190" s="64" t="s">
        <v>562</v>
      </c>
      <c r="C190" s="109">
        <v>3995</v>
      </c>
      <c r="D190" s="117">
        <f t="shared" si="3"/>
        <v>3485.6375000000003</v>
      </c>
    </row>
    <row r="191" spans="1:63" s="62" customFormat="1" ht="22.5" customHeight="1" x14ac:dyDescent="0.25">
      <c r="A191" s="63" t="s">
        <v>217</v>
      </c>
      <c r="B191" s="63" t="s">
        <v>563</v>
      </c>
      <c r="C191" s="110">
        <v>17995</v>
      </c>
      <c r="D191" s="117">
        <f t="shared" si="3"/>
        <v>15700.637500000001</v>
      </c>
    </row>
    <row r="192" spans="1:63" s="62" customFormat="1" ht="22.5" customHeight="1" x14ac:dyDescent="0.25">
      <c r="A192" s="63" t="s">
        <v>218</v>
      </c>
      <c r="B192" s="64" t="s">
        <v>564</v>
      </c>
      <c r="C192" s="109">
        <v>3295</v>
      </c>
      <c r="D192" s="117">
        <f t="shared" si="3"/>
        <v>2874.8875000000003</v>
      </c>
    </row>
    <row r="193" spans="1:63" s="62" customFormat="1" ht="22.5" customHeight="1" x14ac:dyDescent="0.25">
      <c r="A193" s="63" t="s">
        <v>219</v>
      </c>
      <c r="B193" s="64" t="s">
        <v>565</v>
      </c>
      <c r="C193" s="109">
        <v>3295</v>
      </c>
      <c r="D193" s="117">
        <f t="shared" si="3"/>
        <v>2874.8875000000003</v>
      </c>
    </row>
    <row r="194" spans="1:63" s="62" customFormat="1" ht="22.5" customHeight="1" x14ac:dyDescent="0.25">
      <c r="A194" s="63" t="s">
        <v>220</v>
      </c>
      <c r="B194" s="64" t="s">
        <v>566</v>
      </c>
      <c r="C194" s="109">
        <v>4495</v>
      </c>
      <c r="D194" s="117">
        <f t="shared" si="3"/>
        <v>3921.8875000000003</v>
      </c>
    </row>
    <row r="195" spans="1:63" s="62" customFormat="1" ht="22.5" customHeight="1" x14ac:dyDescent="0.25">
      <c r="A195" s="64" t="s">
        <v>221</v>
      </c>
      <c r="B195" s="64" t="s">
        <v>567</v>
      </c>
      <c r="C195" s="109">
        <v>17995</v>
      </c>
      <c r="D195" s="117">
        <f t="shared" ref="D195:D203" si="4">SUM(C195*0.8725)</f>
        <v>15700.637500000001</v>
      </c>
    </row>
    <row r="196" spans="1:63" s="62" customFormat="1" ht="22.5" customHeight="1" x14ac:dyDescent="0.25">
      <c r="A196" s="63" t="s">
        <v>222</v>
      </c>
      <c r="B196" s="63" t="s">
        <v>568</v>
      </c>
      <c r="C196" s="110">
        <v>50000</v>
      </c>
      <c r="D196" s="117">
        <f t="shared" si="4"/>
        <v>43625</v>
      </c>
    </row>
    <row r="197" spans="1:63" s="62" customFormat="1" ht="16.25" customHeight="1" x14ac:dyDescent="0.25">
      <c r="A197" s="63" t="s">
        <v>223</v>
      </c>
      <c r="B197" s="63" t="s">
        <v>569</v>
      </c>
      <c r="C197" s="109">
        <v>3295</v>
      </c>
      <c r="D197" s="117">
        <f t="shared" si="4"/>
        <v>2874.8875000000003</v>
      </c>
    </row>
    <row r="198" spans="1:63" s="62" customFormat="1" ht="13.25" customHeight="1" x14ac:dyDescent="0.25">
      <c r="A198" s="63" t="s">
        <v>224</v>
      </c>
      <c r="B198" s="63" t="s">
        <v>570</v>
      </c>
      <c r="C198" s="109">
        <v>4995</v>
      </c>
      <c r="D198" s="117">
        <f t="shared" si="4"/>
        <v>4358.1374999999998</v>
      </c>
    </row>
    <row r="199" spans="1:63" s="62" customFormat="1" ht="15" customHeight="1" x14ac:dyDescent="0.25">
      <c r="A199" s="63" t="s">
        <v>225</v>
      </c>
      <c r="B199" s="63" t="s">
        <v>571</v>
      </c>
      <c r="C199" s="110">
        <v>1995</v>
      </c>
      <c r="D199" s="117">
        <f t="shared" si="4"/>
        <v>1740.6375</v>
      </c>
    </row>
    <row r="200" spans="1:63" ht="12.75" customHeight="1" x14ac:dyDescent="0.25">
      <c r="A200" s="64" t="s">
        <v>131</v>
      </c>
      <c r="B200" s="64" t="s">
        <v>132</v>
      </c>
      <c r="C200" s="109">
        <v>14995</v>
      </c>
      <c r="D200" s="117">
        <f t="shared" si="4"/>
        <v>13083.137500000001</v>
      </c>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row>
    <row r="201" spans="1:63" ht="26.5" customHeight="1" x14ac:dyDescent="0.25">
      <c r="A201" s="64" t="s">
        <v>155</v>
      </c>
      <c r="B201" s="64" t="s">
        <v>572</v>
      </c>
      <c r="C201" s="109">
        <v>11000</v>
      </c>
      <c r="D201" s="117">
        <f t="shared" si="4"/>
        <v>9597.5</v>
      </c>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row>
    <row r="202" spans="1:63" ht="12.75" customHeight="1" x14ac:dyDescent="0.25">
      <c r="A202" s="64" t="s">
        <v>156</v>
      </c>
      <c r="B202" s="64" t="s">
        <v>573</v>
      </c>
      <c r="C202" s="109">
        <v>4995</v>
      </c>
      <c r="D202" s="117">
        <f t="shared" si="4"/>
        <v>4358.1374999999998</v>
      </c>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row>
    <row r="203" spans="1:63" ht="12.75" customHeight="1" x14ac:dyDescent="0.25">
      <c r="A203" s="64" t="s">
        <v>157</v>
      </c>
      <c r="B203" s="64" t="s">
        <v>574</v>
      </c>
      <c r="C203" s="109">
        <v>4995</v>
      </c>
      <c r="D203" s="117">
        <f t="shared" si="4"/>
        <v>4358.1374999999998</v>
      </c>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row>
    <row r="204" spans="1:63" s="68" customFormat="1" ht="30" x14ac:dyDescent="0.25">
      <c r="A204" s="61" t="s">
        <v>320</v>
      </c>
      <c r="B204" s="61" t="s">
        <v>576</v>
      </c>
      <c r="C204" s="110">
        <v>1400</v>
      </c>
      <c r="D204" s="117" t="s">
        <v>737</v>
      </c>
    </row>
    <row r="205" spans="1:63" s="68" customFormat="1" ht="28.5" customHeight="1" x14ac:dyDescent="0.25">
      <c r="A205" s="61" t="s">
        <v>321</v>
      </c>
      <c r="B205" s="61" t="s">
        <v>577</v>
      </c>
      <c r="C205" s="110">
        <v>1400</v>
      </c>
      <c r="D205" s="117" t="s">
        <v>737</v>
      </c>
    </row>
    <row r="206" spans="1:63" s="68" customFormat="1" ht="27" customHeight="1" x14ac:dyDescent="0.25">
      <c r="A206" s="61" t="s">
        <v>322</v>
      </c>
      <c r="B206" s="61" t="s">
        <v>578</v>
      </c>
      <c r="C206" s="110">
        <v>1400</v>
      </c>
      <c r="D206" s="117" t="s">
        <v>737</v>
      </c>
    </row>
    <row r="207" spans="1:63" s="68" customFormat="1" ht="30" x14ac:dyDescent="0.25">
      <c r="A207" s="61" t="s">
        <v>323</v>
      </c>
      <c r="B207" s="61" t="s">
        <v>579</v>
      </c>
      <c r="C207" s="110">
        <v>1400</v>
      </c>
      <c r="D207" s="117" t="s">
        <v>737</v>
      </c>
    </row>
    <row r="208" spans="1:63" ht="20" x14ac:dyDescent="0.25">
      <c r="A208" s="61" t="s">
        <v>580</v>
      </c>
      <c r="B208" s="61" t="s">
        <v>581</v>
      </c>
      <c r="C208" s="109" t="s">
        <v>453</v>
      </c>
      <c r="D208" s="117" t="s">
        <v>737</v>
      </c>
      <c r="BK208" s="69"/>
    </row>
    <row r="209" spans="1:63" ht="20" x14ac:dyDescent="0.25">
      <c r="A209" s="61" t="s">
        <v>582</v>
      </c>
      <c r="B209" s="61" t="s">
        <v>583</v>
      </c>
      <c r="C209" s="109" t="s">
        <v>453</v>
      </c>
      <c r="D209" s="117" t="s">
        <v>737</v>
      </c>
      <c r="BK209" s="69"/>
    </row>
    <row r="210" spans="1:63" ht="20" x14ac:dyDescent="0.25">
      <c r="A210" s="61" t="s">
        <v>584</v>
      </c>
      <c r="B210" s="61" t="s">
        <v>585</v>
      </c>
      <c r="C210" s="109" t="s">
        <v>453</v>
      </c>
      <c r="D210" s="117" t="s">
        <v>737</v>
      </c>
      <c r="BK210" s="69"/>
    </row>
    <row r="211" spans="1:63" ht="25.5" customHeight="1" x14ac:dyDescent="0.25">
      <c r="A211" s="61" t="s">
        <v>586</v>
      </c>
      <c r="B211" s="61" t="s">
        <v>587</v>
      </c>
      <c r="C211" s="109" t="s">
        <v>588</v>
      </c>
      <c r="D211" s="117" t="s">
        <v>737</v>
      </c>
      <c r="BK211" s="69"/>
    </row>
    <row r="212" spans="1:63" ht="25.5" customHeight="1" x14ac:dyDescent="0.25">
      <c r="A212" s="61" t="s">
        <v>589</v>
      </c>
      <c r="B212" s="61" t="s">
        <v>590</v>
      </c>
      <c r="C212" s="109" t="s">
        <v>588</v>
      </c>
      <c r="D212" s="117" t="s">
        <v>737</v>
      </c>
      <c r="BK212" s="69"/>
    </row>
    <row r="213" spans="1:63" ht="25.5" customHeight="1" x14ac:dyDescent="0.25">
      <c r="A213" s="61" t="s">
        <v>591</v>
      </c>
      <c r="B213" s="61" t="s">
        <v>592</v>
      </c>
      <c r="C213" s="109" t="s">
        <v>588</v>
      </c>
      <c r="D213" s="117" t="s">
        <v>737</v>
      </c>
      <c r="BK213" s="69"/>
    </row>
    <row r="214" spans="1:63" ht="25.5" customHeight="1" x14ac:dyDescent="0.25">
      <c r="A214" s="61" t="s">
        <v>593</v>
      </c>
      <c r="B214" s="61" t="s">
        <v>594</v>
      </c>
      <c r="C214" s="109" t="s">
        <v>575</v>
      </c>
      <c r="D214" s="117" t="s">
        <v>737</v>
      </c>
      <c r="BK214" s="69"/>
    </row>
    <row r="215" spans="1:63" ht="25.5" customHeight="1" x14ac:dyDescent="0.25">
      <c r="A215" s="61" t="s">
        <v>595</v>
      </c>
      <c r="B215" s="61" t="s">
        <v>596</v>
      </c>
      <c r="C215" s="109" t="s">
        <v>575</v>
      </c>
      <c r="D215" s="117" t="s">
        <v>737</v>
      </c>
      <c r="BK215" s="69"/>
    </row>
    <row r="216" spans="1:63" ht="25.5" customHeight="1" x14ac:dyDescent="0.25">
      <c r="A216" s="61" t="s">
        <v>597</v>
      </c>
      <c r="B216" s="61" t="s">
        <v>598</v>
      </c>
      <c r="C216" s="109" t="s">
        <v>575</v>
      </c>
      <c r="D216" s="117" t="s">
        <v>737</v>
      </c>
      <c r="BK216" s="69"/>
    </row>
    <row r="217" spans="1:63" ht="36" customHeight="1" x14ac:dyDescent="0.25">
      <c r="A217" s="61" t="s">
        <v>599</v>
      </c>
      <c r="B217" s="61" t="s">
        <v>600</v>
      </c>
      <c r="C217" s="109" t="s">
        <v>601</v>
      </c>
      <c r="D217" s="117" t="s">
        <v>737</v>
      </c>
      <c r="BK217" s="69"/>
    </row>
    <row r="218" spans="1:63" ht="36.65" customHeight="1" x14ac:dyDescent="0.25">
      <c r="A218" s="61" t="s">
        <v>602</v>
      </c>
      <c r="B218" s="61" t="s">
        <v>603</v>
      </c>
      <c r="C218" s="109" t="s">
        <v>601</v>
      </c>
      <c r="D218" s="117" t="s">
        <v>737</v>
      </c>
      <c r="BK218" s="69"/>
    </row>
    <row r="219" spans="1:63" ht="37.25" customHeight="1" x14ac:dyDescent="0.25">
      <c r="A219" s="61" t="s">
        <v>604</v>
      </c>
      <c r="B219" s="61" t="s">
        <v>605</v>
      </c>
      <c r="C219" s="109" t="s">
        <v>601</v>
      </c>
      <c r="D219" s="117" t="s">
        <v>737</v>
      </c>
      <c r="BK219" s="69"/>
    </row>
    <row r="220" spans="1:63" ht="20" x14ac:dyDescent="0.25">
      <c r="A220" s="61" t="s">
        <v>606</v>
      </c>
      <c r="B220" s="61" t="s">
        <v>607</v>
      </c>
      <c r="C220" s="109" t="s">
        <v>608</v>
      </c>
      <c r="D220" s="117" t="s">
        <v>737</v>
      </c>
      <c r="BK220" s="69"/>
    </row>
    <row r="221" spans="1:63" ht="31.25" customHeight="1" x14ac:dyDescent="0.25">
      <c r="A221" s="61" t="s">
        <v>609</v>
      </c>
      <c r="B221" s="61" t="s">
        <v>610</v>
      </c>
      <c r="C221" s="109" t="s">
        <v>608</v>
      </c>
      <c r="D221" s="117" t="s">
        <v>737</v>
      </c>
      <c r="BK221" s="69"/>
    </row>
    <row r="222" spans="1:63" ht="34.25" customHeight="1" x14ac:dyDescent="0.25">
      <c r="A222" s="61" t="s">
        <v>611</v>
      </c>
      <c r="B222" s="61" t="s">
        <v>612</v>
      </c>
      <c r="C222" s="109" t="s">
        <v>608</v>
      </c>
      <c r="D222" s="117" t="s">
        <v>737</v>
      </c>
      <c r="BK222" s="69"/>
    </row>
    <row r="223" spans="1:63" ht="30.65" customHeight="1" x14ac:dyDescent="0.25">
      <c r="A223" s="61" t="s">
        <v>613</v>
      </c>
      <c r="B223" s="61" t="s">
        <v>614</v>
      </c>
      <c r="C223" s="111" t="s">
        <v>615</v>
      </c>
      <c r="D223" s="117" t="s">
        <v>737</v>
      </c>
      <c r="BK223" s="69"/>
    </row>
    <row r="224" spans="1:63" ht="31.25" customHeight="1" x14ac:dyDescent="0.25">
      <c r="A224" s="61" t="s">
        <v>616</v>
      </c>
      <c r="B224" s="61" t="s">
        <v>617</v>
      </c>
      <c r="C224" s="111" t="s">
        <v>615</v>
      </c>
      <c r="D224" s="117" t="s">
        <v>737</v>
      </c>
      <c r="BK224" s="69"/>
    </row>
    <row r="225" spans="1:63" ht="25.5" customHeight="1" x14ac:dyDescent="0.25">
      <c r="A225" s="61" t="s">
        <v>618</v>
      </c>
      <c r="B225" s="61" t="s">
        <v>619</v>
      </c>
      <c r="C225" s="111" t="s">
        <v>615</v>
      </c>
      <c r="D225" s="117" t="s">
        <v>737</v>
      </c>
      <c r="BK225" s="69"/>
    </row>
    <row r="226" spans="1:63" ht="25.5" customHeight="1" x14ac:dyDescent="0.25">
      <c r="A226" s="61" t="s">
        <v>620</v>
      </c>
      <c r="B226" s="61" t="s">
        <v>621</v>
      </c>
      <c r="C226" s="111" t="s">
        <v>622</v>
      </c>
      <c r="D226" s="117" t="s">
        <v>737</v>
      </c>
      <c r="BK226" s="69"/>
    </row>
    <row r="227" spans="1:63" ht="25.5" customHeight="1" x14ac:dyDescent="0.25">
      <c r="A227" s="61" t="s">
        <v>623</v>
      </c>
      <c r="B227" s="61" t="s">
        <v>624</v>
      </c>
      <c r="C227" s="111" t="s">
        <v>622</v>
      </c>
      <c r="D227" s="117" t="s">
        <v>737</v>
      </c>
      <c r="BK227" s="69"/>
    </row>
    <row r="228" spans="1:63" ht="25.5" customHeight="1" x14ac:dyDescent="0.25">
      <c r="A228" s="61" t="s">
        <v>625</v>
      </c>
      <c r="B228" s="61" t="s">
        <v>626</v>
      </c>
      <c r="C228" s="111" t="s">
        <v>622</v>
      </c>
      <c r="D228" s="117" t="s">
        <v>737</v>
      </c>
      <c r="BK228" s="69"/>
    </row>
    <row r="229" spans="1:63" ht="25.5" customHeight="1" x14ac:dyDescent="0.25">
      <c r="A229" s="61" t="s">
        <v>627</v>
      </c>
      <c r="B229" s="61" t="s">
        <v>628</v>
      </c>
      <c r="C229" s="111" t="s">
        <v>629</v>
      </c>
      <c r="D229" s="117" t="s">
        <v>737</v>
      </c>
      <c r="BK229" s="69"/>
    </row>
    <row r="230" spans="1:63" ht="25.5" customHeight="1" x14ac:dyDescent="0.25">
      <c r="A230" s="61" t="s">
        <v>630</v>
      </c>
      <c r="B230" s="61" t="s">
        <v>631</v>
      </c>
      <c r="C230" s="111" t="s">
        <v>629</v>
      </c>
      <c r="D230" s="117" t="s">
        <v>737</v>
      </c>
      <c r="BK230" s="69"/>
    </row>
    <row r="231" spans="1:63" ht="25.5" customHeight="1" x14ac:dyDescent="0.25">
      <c r="A231" s="61" t="s">
        <v>632</v>
      </c>
      <c r="B231" s="61" t="s">
        <v>633</v>
      </c>
      <c r="C231" s="111" t="s">
        <v>629</v>
      </c>
      <c r="D231" s="117" t="s">
        <v>737</v>
      </c>
      <c r="BK231" s="69"/>
    </row>
    <row r="232" spans="1:63" ht="25.5" customHeight="1" x14ac:dyDescent="0.25">
      <c r="A232" s="61" t="s">
        <v>634</v>
      </c>
      <c r="B232" s="61" t="s">
        <v>635</v>
      </c>
      <c r="C232" s="111" t="s">
        <v>629</v>
      </c>
      <c r="D232" s="117" t="s">
        <v>737</v>
      </c>
      <c r="BK232" s="69"/>
    </row>
    <row r="233" spans="1:63" ht="25.5" customHeight="1" x14ac:dyDescent="0.25">
      <c r="A233" s="61" t="s">
        <v>636</v>
      </c>
      <c r="B233" s="61" t="s">
        <v>637</v>
      </c>
      <c r="C233" s="111" t="s">
        <v>629</v>
      </c>
      <c r="D233" s="117" t="s">
        <v>737</v>
      </c>
      <c r="BK233" s="69"/>
    </row>
    <row r="234" spans="1:63" ht="25.5" customHeight="1" x14ac:dyDescent="0.25">
      <c r="A234" s="61" t="s">
        <v>638</v>
      </c>
      <c r="B234" s="61" t="s">
        <v>639</v>
      </c>
      <c r="C234" s="111" t="s">
        <v>629</v>
      </c>
      <c r="D234" s="117" t="s">
        <v>737</v>
      </c>
      <c r="BK234" s="69"/>
    </row>
    <row r="235" spans="1:63" ht="25.5" customHeight="1" x14ac:dyDescent="0.25">
      <c r="A235" s="61" t="s">
        <v>640</v>
      </c>
      <c r="B235" s="61" t="s">
        <v>641</v>
      </c>
      <c r="C235" s="111" t="s">
        <v>622</v>
      </c>
      <c r="D235" s="117" t="s">
        <v>737</v>
      </c>
      <c r="BK235" s="69"/>
    </row>
    <row r="236" spans="1:63" ht="25.5" customHeight="1" x14ac:dyDescent="0.25">
      <c r="A236" s="61" t="s">
        <v>642</v>
      </c>
      <c r="B236" s="61" t="s">
        <v>643</v>
      </c>
      <c r="C236" s="111" t="s">
        <v>622</v>
      </c>
      <c r="D236" s="117" t="s">
        <v>737</v>
      </c>
      <c r="BK236" s="69"/>
    </row>
    <row r="237" spans="1:63" ht="20" x14ac:dyDescent="0.25">
      <c r="A237" s="61" t="s">
        <v>644</v>
      </c>
      <c r="B237" s="61" t="s">
        <v>645</v>
      </c>
      <c r="C237" s="111" t="s">
        <v>622</v>
      </c>
      <c r="D237" s="117" t="s">
        <v>737</v>
      </c>
      <c r="BK237" s="69"/>
    </row>
    <row r="238" spans="1:63" ht="20" x14ac:dyDescent="0.25">
      <c r="A238" s="61" t="s">
        <v>646</v>
      </c>
      <c r="B238" s="61" t="s">
        <v>647</v>
      </c>
      <c r="C238" s="109" t="s">
        <v>453</v>
      </c>
      <c r="D238" s="117" t="s">
        <v>737</v>
      </c>
      <c r="BK238" s="69"/>
    </row>
    <row r="239" spans="1:63" ht="22.5" customHeight="1" x14ac:dyDescent="0.25">
      <c r="A239" s="61" t="s">
        <v>648</v>
      </c>
      <c r="B239" s="61" t="s">
        <v>649</v>
      </c>
      <c r="C239" s="109" t="s">
        <v>588</v>
      </c>
      <c r="D239" s="117" t="s">
        <v>737</v>
      </c>
      <c r="BK239" s="69"/>
    </row>
    <row r="240" spans="1:63" ht="22.5" customHeight="1" x14ac:dyDescent="0.25">
      <c r="A240" s="61" t="s">
        <v>650</v>
      </c>
      <c r="B240" s="61" t="s">
        <v>651</v>
      </c>
      <c r="C240" s="109" t="s">
        <v>575</v>
      </c>
      <c r="D240" s="117" t="s">
        <v>737</v>
      </c>
      <c r="BK240" s="69"/>
    </row>
    <row r="241" spans="1:63" ht="22.5" customHeight="1" x14ac:dyDescent="0.25">
      <c r="A241" s="61" t="s">
        <v>652</v>
      </c>
      <c r="B241" s="61" t="s">
        <v>653</v>
      </c>
      <c r="C241" s="109" t="s">
        <v>601</v>
      </c>
      <c r="D241" s="117" t="s">
        <v>737</v>
      </c>
      <c r="BK241" s="69"/>
    </row>
    <row r="242" spans="1:63" ht="26.4" customHeight="1" x14ac:dyDescent="0.25">
      <c r="A242" s="61" t="s">
        <v>654</v>
      </c>
      <c r="B242" s="61" t="s">
        <v>655</v>
      </c>
      <c r="C242" s="109" t="s">
        <v>608</v>
      </c>
      <c r="D242" s="117" t="s">
        <v>737</v>
      </c>
      <c r="BK242" s="69"/>
    </row>
    <row r="243" spans="1:63" ht="22.5" customHeight="1" x14ac:dyDescent="0.25">
      <c r="A243" s="61" t="s">
        <v>656</v>
      </c>
      <c r="B243" s="61" t="s">
        <v>657</v>
      </c>
      <c r="C243" s="111" t="s">
        <v>615</v>
      </c>
      <c r="D243" s="117" t="s">
        <v>737</v>
      </c>
      <c r="BK243" s="69"/>
    </row>
    <row r="244" spans="1:63" ht="22.5" customHeight="1" x14ac:dyDescent="0.25">
      <c r="A244" s="61" t="s">
        <v>658</v>
      </c>
      <c r="B244" s="61" t="s">
        <v>659</v>
      </c>
      <c r="C244" s="111" t="s">
        <v>622</v>
      </c>
      <c r="D244" s="117" t="s">
        <v>737</v>
      </c>
      <c r="BK244" s="69"/>
    </row>
    <row r="245" spans="1:63" s="96" customFormat="1" ht="22.5" customHeight="1" x14ac:dyDescent="0.25">
      <c r="A245" s="95" t="s">
        <v>660</v>
      </c>
      <c r="B245" s="95" t="s">
        <v>661</v>
      </c>
      <c r="C245" s="112" t="s">
        <v>629</v>
      </c>
      <c r="D245" s="117" t="s">
        <v>737</v>
      </c>
    </row>
    <row r="246" spans="1:63" s="96" customFormat="1" ht="22.5" customHeight="1" x14ac:dyDescent="0.25">
      <c r="A246" s="95" t="s">
        <v>662</v>
      </c>
      <c r="B246" s="95" t="s">
        <v>663</v>
      </c>
      <c r="C246" s="112" t="s">
        <v>629</v>
      </c>
      <c r="D246" s="117" t="s">
        <v>737</v>
      </c>
    </row>
    <row r="247" spans="1:63" s="96" customFormat="1" ht="22.5" customHeight="1" x14ac:dyDescent="0.25">
      <c r="A247" s="95" t="s">
        <v>664</v>
      </c>
      <c r="B247" s="95" t="s">
        <v>665</v>
      </c>
      <c r="C247" s="112" t="s">
        <v>622</v>
      </c>
      <c r="D247" s="117" t="s">
        <v>737</v>
      </c>
    </row>
    <row r="248" spans="1:63" s="96" customFormat="1" ht="21" x14ac:dyDescent="0.25">
      <c r="A248" s="94" t="s">
        <v>273</v>
      </c>
      <c r="B248" s="97" t="s">
        <v>666</v>
      </c>
      <c r="C248" s="113">
        <v>0</v>
      </c>
      <c r="D248" s="117">
        <f t="shared" ref="D248:D260" si="5">SUM(C248*0.99)</f>
        <v>0</v>
      </c>
    </row>
    <row r="249" spans="1:63" s="96" customFormat="1" ht="21" x14ac:dyDescent="0.25">
      <c r="A249" s="94" t="s">
        <v>274</v>
      </c>
      <c r="B249" s="97" t="s">
        <v>275</v>
      </c>
      <c r="C249" s="113">
        <v>0</v>
      </c>
      <c r="D249" s="117">
        <f t="shared" si="5"/>
        <v>0</v>
      </c>
    </row>
    <row r="250" spans="1:63" s="96" customFormat="1" ht="71" x14ac:dyDescent="0.25">
      <c r="A250" s="94" t="s">
        <v>276</v>
      </c>
      <c r="B250" s="95" t="s">
        <v>277</v>
      </c>
      <c r="C250" s="113">
        <v>2500</v>
      </c>
      <c r="D250" s="117">
        <f t="shared" si="5"/>
        <v>2475</v>
      </c>
    </row>
    <row r="251" spans="1:63" s="96" customFormat="1" ht="61" x14ac:dyDescent="0.25">
      <c r="A251" s="94" t="s">
        <v>278</v>
      </c>
      <c r="B251" s="95" t="s">
        <v>279</v>
      </c>
      <c r="C251" s="113">
        <v>4500</v>
      </c>
      <c r="D251" s="117">
        <f t="shared" si="5"/>
        <v>4455</v>
      </c>
    </row>
    <row r="252" spans="1:63" s="96" customFormat="1" ht="81" x14ac:dyDescent="0.25">
      <c r="A252" s="94" t="s">
        <v>280</v>
      </c>
      <c r="B252" s="95" t="s">
        <v>281</v>
      </c>
      <c r="C252" s="113">
        <v>6000</v>
      </c>
      <c r="D252" s="117">
        <f t="shared" si="5"/>
        <v>5940</v>
      </c>
    </row>
    <row r="253" spans="1:63" s="96" customFormat="1" ht="73.5" customHeight="1" x14ac:dyDescent="0.25">
      <c r="A253" s="94" t="s">
        <v>282</v>
      </c>
      <c r="B253" s="95" t="s">
        <v>283</v>
      </c>
      <c r="C253" s="113">
        <v>8500</v>
      </c>
      <c r="D253" s="117">
        <f t="shared" si="5"/>
        <v>8415</v>
      </c>
    </row>
    <row r="254" spans="1:63" s="96" customFormat="1" ht="91.5" customHeight="1" x14ac:dyDescent="0.25">
      <c r="A254" s="94" t="s">
        <v>284</v>
      </c>
      <c r="B254" s="95" t="s">
        <v>285</v>
      </c>
      <c r="C254" s="113">
        <v>10500</v>
      </c>
      <c r="D254" s="117">
        <f t="shared" si="5"/>
        <v>10395</v>
      </c>
    </row>
    <row r="255" spans="1:63" s="96" customFormat="1" ht="91" x14ac:dyDescent="0.25">
      <c r="A255" s="94" t="s">
        <v>286</v>
      </c>
      <c r="B255" s="95" t="s">
        <v>287</v>
      </c>
      <c r="C255" s="113">
        <v>15000</v>
      </c>
      <c r="D255" s="117">
        <f t="shared" si="5"/>
        <v>14850</v>
      </c>
    </row>
    <row r="256" spans="1:63" s="96" customFormat="1" ht="81" x14ac:dyDescent="0.25">
      <c r="A256" s="94" t="s">
        <v>288</v>
      </c>
      <c r="B256" s="95" t="s">
        <v>289</v>
      </c>
      <c r="C256" s="113">
        <v>2000</v>
      </c>
      <c r="D256" s="117">
        <f t="shared" si="5"/>
        <v>1980</v>
      </c>
    </row>
    <row r="257" spans="1:4" s="96" customFormat="1" ht="81.5" x14ac:dyDescent="0.25">
      <c r="A257" s="94" t="s">
        <v>290</v>
      </c>
      <c r="B257" s="95" t="s">
        <v>291</v>
      </c>
      <c r="C257" s="113">
        <v>500</v>
      </c>
      <c r="D257" s="117">
        <f t="shared" si="5"/>
        <v>495</v>
      </c>
    </row>
    <row r="258" spans="1:4" s="96" customFormat="1" ht="41" x14ac:dyDescent="0.25">
      <c r="A258" s="94" t="s">
        <v>292</v>
      </c>
      <c r="B258" s="95" t="s">
        <v>293</v>
      </c>
      <c r="C258" s="113">
        <v>300000</v>
      </c>
      <c r="D258" s="117">
        <f t="shared" si="5"/>
        <v>297000</v>
      </c>
    </row>
    <row r="259" spans="1:4" s="96" customFormat="1" ht="41" x14ac:dyDescent="0.25">
      <c r="A259" s="94" t="s">
        <v>294</v>
      </c>
      <c r="B259" s="95" t="s">
        <v>295</v>
      </c>
      <c r="C259" s="113">
        <v>55000</v>
      </c>
      <c r="D259" s="117">
        <f t="shared" si="5"/>
        <v>54450</v>
      </c>
    </row>
    <row r="260" spans="1:4" s="96" customFormat="1" ht="41" x14ac:dyDescent="0.25">
      <c r="A260" s="94" t="s">
        <v>296</v>
      </c>
      <c r="B260" s="95" t="s">
        <v>297</v>
      </c>
      <c r="C260" s="113">
        <v>136000</v>
      </c>
      <c r="D260" s="117">
        <f t="shared" si="5"/>
        <v>134640</v>
      </c>
    </row>
    <row r="261" spans="1:4" s="96" customFormat="1" ht="41" x14ac:dyDescent="0.25">
      <c r="A261" s="94" t="s">
        <v>298</v>
      </c>
      <c r="B261" s="95" t="s">
        <v>299</v>
      </c>
      <c r="C261" s="113">
        <v>217000</v>
      </c>
      <c r="D261" s="117">
        <f t="shared" ref="D261:D263" si="6">SUM(C261*0.99)</f>
        <v>214830</v>
      </c>
    </row>
    <row r="262" spans="1:4" s="96" customFormat="1" ht="41" x14ac:dyDescent="0.25">
      <c r="A262" s="94" t="s">
        <v>300</v>
      </c>
      <c r="B262" s="95" t="s">
        <v>301</v>
      </c>
      <c r="C262" s="113">
        <v>273000</v>
      </c>
      <c r="D262" s="117">
        <f t="shared" si="6"/>
        <v>270270</v>
      </c>
    </row>
    <row r="263" spans="1:4" s="96" customFormat="1" ht="41" x14ac:dyDescent="0.25">
      <c r="A263" s="94" t="s">
        <v>302</v>
      </c>
      <c r="B263" s="95" t="s">
        <v>303</v>
      </c>
      <c r="C263" s="113">
        <v>275000</v>
      </c>
      <c r="D263" s="117">
        <f t="shared" si="6"/>
        <v>272250</v>
      </c>
    </row>
    <row r="264" spans="1:4" s="96" customFormat="1" ht="41" x14ac:dyDescent="0.25">
      <c r="A264" s="94" t="s">
        <v>304</v>
      </c>
      <c r="B264" s="95" t="s">
        <v>305</v>
      </c>
      <c r="C264" s="113">
        <v>25000</v>
      </c>
      <c r="D264" s="117">
        <f t="shared" ref="D264:D271" si="7">SUM(C264*0.99)</f>
        <v>24750</v>
      </c>
    </row>
    <row r="265" spans="1:4" s="96" customFormat="1" ht="41" x14ac:dyDescent="0.25">
      <c r="A265" s="94" t="s">
        <v>306</v>
      </c>
      <c r="B265" s="95" t="s">
        <v>307</v>
      </c>
      <c r="C265" s="113">
        <v>100000</v>
      </c>
      <c r="D265" s="117">
        <f t="shared" si="7"/>
        <v>99000</v>
      </c>
    </row>
    <row r="266" spans="1:4" s="96" customFormat="1" ht="41" x14ac:dyDescent="0.25">
      <c r="A266" s="94" t="s">
        <v>308</v>
      </c>
      <c r="B266" s="95" t="s">
        <v>309</v>
      </c>
      <c r="C266" s="113">
        <v>175000</v>
      </c>
      <c r="D266" s="117">
        <f t="shared" si="7"/>
        <v>173250</v>
      </c>
    </row>
    <row r="267" spans="1:4" s="96" customFormat="1" ht="41" x14ac:dyDescent="0.25">
      <c r="A267" s="94" t="s">
        <v>310</v>
      </c>
      <c r="B267" s="95" t="s">
        <v>311</v>
      </c>
      <c r="C267" s="113">
        <v>225000</v>
      </c>
      <c r="D267" s="117">
        <f t="shared" si="7"/>
        <v>222750</v>
      </c>
    </row>
    <row r="268" spans="1:4" s="96" customFormat="1" ht="71.5" x14ac:dyDescent="0.25">
      <c r="A268" s="94" t="s">
        <v>312</v>
      </c>
      <c r="B268" s="95" t="s">
        <v>313</v>
      </c>
      <c r="C268" s="113">
        <v>3000</v>
      </c>
      <c r="D268" s="117">
        <f t="shared" si="7"/>
        <v>2970</v>
      </c>
    </row>
    <row r="269" spans="1:4" s="96" customFormat="1" ht="71.5" x14ac:dyDescent="0.25">
      <c r="A269" s="94" t="s">
        <v>314</v>
      </c>
      <c r="B269" s="95" t="s">
        <v>315</v>
      </c>
      <c r="C269" s="113">
        <v>4500</v>
      </c>
      <c r="D269" s="117">
        <f t="shared" si="7"/>
        <v>4455</v>
      </c>
    </row>
    <row r="270" spans="1:4" s="96" customFormat="1" ht="91" x14ac:dyDescent="0.25">
      <c r="A270" s="94" t="s">
        <v>316</v>
      </c>
      <c r="B270" s="95" t="s">
        <v>317</v>
      </c>
      <c r="C270" s="113">
        <v>3000</v>
      </c>
      <c r="D270" s="117">
        <f t="shared" si="7"/>
        <v>2970</v>
      </c>
    </row>
    <row r="271" spans="1:4" s="96" customFormat="1" ht="101" x14ac:dyDescent="0.25">
      <c r="A271" s="99" t="s">
        <v>318</v>
      </c>
      <c r="B271" s="100" t="s">
        <v>319</v>
      </c>
      <c r="C271" s="114">
        <v>4500</v>
      </c>
      <c r="D271" s="117">
        <f t="shared" si="7"/>
        <v>4455</v>
      </c>
    </row>
    <row r="272" spans="1:4" s="96" customFormat="1" ht="20" x14ac:dyDescent="0.25">
      <c r="A272" s="101" t="s">
        <v>227</v>
      </c>
      <c r="B272" s="102" t="s">
        <v>732</v>
      </c>
      <c r="C272" s="103">
        <v>2000</v>
      </c>
      <c r="D272" s="105">
        <f>SUM(C272*0.99)</f>
        <v>1980</v>
      </c>
    </row>
    <row r="273" spans="1:4" s="96" customFormat="1" ht="20" x14ac:dyDescent="0.25">
      <c r="A273" s="104" t="s">
        <v>228</v>
      </c>
      <c r="B273" s="102" t="s">
        <v>733</v>
      </c>
      <c r="C273" s="103">
        <v>10000</v>
      </c>
      <c r="D273" s="105">
        <f>SUM(C273*0.99)</f>
        <v>9900</v>
      </c>
    </row>
    <row r="274" spans="1:4" s="96" customFormat="1" x14ac:dyDescent="0.25">
      <c r="A274" s="104" t="s">
        <v>247</v>
      </c>
      <c r="B274" s="102" t="s">
        <v>248</v>
      </c>
      <c r="C274" s="103">
        <v>4995</v>
      </c>
      <c r="D274" s="117">
        <f t="shared" ref="D274:D319" si="8">SUM(C274*0.8725)</f>
        <v>4358.1374999999998</v>
      </c>
    </row>
    <row r="275" spans="1:4" s="96" customFormat="1" x14ac:dyDescent="0.25">
      <c r="A275" s="104" t="s">
        <v>260</v>
      </c>
      <c r="B275" s="102" t="s">
        <v>261</v>
      </c>
      <c r="C275" s="103">
        <v>1295</v>
      </c>
      <c r="D275" s="117">
        <f t="shared" si="8"/>
        <v>1129.8875</v>
      </c>
    </row>
    <row r="276" spans="1:4" s="96" customFormat="1" ht="20" x14ac:dyDescent="0.25">
      <c r="A276" s="94" t="s">
        <v>178</v>
      </c>
      <c r="B276" s="98" t="s">
        <v>667</v>
      </c>
      <c r="C276" s="113">
        <v>14995</v>
      </c>
      <c r="D276" s="117">
        <f t="shared" si="8"/>
        <v>13083.137500000001</v>
      </c>
    </row>
    <row r="277" spans="1:4" s="96" customFormat="1" ht="20" x14ac:dyDescent="0.25">
      <c r="A277" s="94" t="s">
        <v>179</v>
      </c>
      <c r="B277" s="94" t="s">
        <v>180</v>
      </c>
      <c r="C277" s="105">
        <v>5995</v>
      </c>
      <c r="D277" s="117">
        <f t="shared" si="8"/>
        <v>5230.6375000000007</v>
      </c>
    </row>
    <row r="278" spans="1:4" s="96" customFormat="1" ht="20" x14ac:dyDescent="0.25">
      <c r="A278" s="94" t="s">
        <v>151</v>
      </c>
      <c r="B278" s="94" t="s">
        <v>152</v>
      </c>
      <c r="C278" s="105">
        <v>34995</v>
      </c>
      <c r="D278" s="117">
        <f t="shared" si="8"/>
        <v>30533.137500000001</v>
      </c>
    </row>
    <row r="279" spans="1:4" s="96" customFormat="1" ht="20" x14ac:dyDescent="0.25">
      <c r="A279" s="94" t="s">
        <v>153</v>
      </c>
      <c r="B279" s="94" t="s">
        <v>154</v>
      </c>
      <c r="C279" s="105">
        <v>35995</v>
      </c>
      <c r="D279" s="117">
        <f t="shared" si="8"/>
        <v>31405.637500000001</v>
      </c>
    </row>
    <row r="280" spans="1:4" s="96" customFormat="1" x14ac:dyDescent="0.25">
      <c r="A280" s="94" t="s">
        <v>158</v>
      </c>
      <c r="B280" s="94" t="s">
        <v>159</v>
      </c>
      <c r="C280" s="105">
        <v>20000</v>
      </c>
      <c r="D280" s="117">
        <f t="shared" si="8"/>
        <v>17450</v>
      </c>
    </row>
    <row r="281" spans="1:4" s="96" customFormat="1" x14ac:dyDescent="0.25">
      <c r="A281" s="94" t="s">
        <v>164</v>
      </c>
      <c r="B281" s="94" t="s">
        <v>668</v>
      </c>
      <c r="C281" s="105">
        <v>4995</v>
      </c>
      <c r="D281" s="117">
        <f t="shared" si="8"/>
        <v>4358.1374999999998</v>
      </c>
    </row>
    <row r="282" spans="1:4" s="96" customFormat="1" x14ac:dyDescent="0.25">
      <c r="A282" s="94" t="s">
        <v>262</v>
      </c>
      <c r="B282" s="94" t="s">
        <v>263</v>
      </c>
      <c r="C282" s="105">
        <v>495</v>
      </c>
      <c r="D282" s="117">
        <f t="shared" si="8"/>
        <v>431.88750000000005</v>
      </c>
    </row>
    <row r="283" spans="1:4" s="96" customFormat="1" x14ac:dyDescent="0.25">
      <c r="A283" s="94" t="s">
        <v>264</v>
      </c>
      <c r="B283" s="94" t="s">
        <v>265</v>
      </c>
      <c r="C283" s="105">
        <v>1495</v>
      </c>
      <c r="D283" s="117">
        <f t="shared" si="8"/>
        <v>1304.3875</v>
      </c>
    </row>
    <row r="284" spans="1:4" s="96" customFormat="1" x14ac:dyDescent="0.25">
      <c r="A284" s="94" t="s">
        <v>266</v>
      </c>
      <c r="B284" s="94" t="s">
        <v>267</v>
      </c>
      <c r="C284" s="105">
        <v>2195</v>
      </c>
      <c r="D284" s="117">
        <f t="shared" si="8"/>
        <v>1915.1375</v>
      </c>
    </row>
    <row r="285" spans="1:4" s="96" customFormat="1" x14ac:dyDescent="0.25">
      <c r="A285" s="94" t="s">
        <v>253</v>
      </c>
      <c r="B285" s="94" t="s">
        <v>254</v>
      </c>
      <c r="C285" s="105">
        <v>14995</v>
      </c>
      <c r="D285" s="117">
        <f t="shared" si="8"/>
        <v>13083.137500000001</v>
      </c>
    </row>
    <row r="286" spans="1:4" s="96" customFormat="1" ht="20" x14ac:dyDescent="0.25">
      <c r="A286" s="94" t="s">
        <v>189</v>
      </c>
      <c r="B286" s="94" t="s">
        <v>190</v>
      </c>
      <c r="C286" s="105">
        <v>14995</v>
      </c>
      <c r="D286" s="117">
        <f t="shared" si="8"/>
        <v>13083.137500000001</v>
      </c>
    </row>
    <row r="287" spans="1:4" s="96" customFormat="1" ht="20" x14ac:dyDescent="0.25">
      <c r="A287" s="94" t="s">
        <v>191</v>
      </c>
      <c r="B287" s="94" t="s">
        <v>192</v>
      </c>
      <c r="C287" s="105">
        <v>39995</v>
      </c>
      <c r="D287" s="117">
        <f t="shared" si="8"/>
        <v>34895.637500000004</v>
      </c>
    </row>
    <row r="288" spans="1:4" s="96" customFormat="1" ht="20" x14ac:dyDescent="0.25">
      <c r="A288" s="94" t="s">
        <v>209</v>
      </c>
      <c r="B288" s="94" t="s">
        <v>210</v>
      </c>
      <c r="C288" s="105">
        <v>79995</v>
      </c>
      <c r="D288" s="117">
        <f t="shared" si="8"/>
        <v>69795.637499999997</v>
      </c>
    </row>
    <row r="289" spans="1:4" s="96" customFormat="1" ht="20" x14ac:dyDescent="0.25">
      <c r="A289" s="94" t="s">
        <v>669</v>
      </c>
      <c r="B289" s="94" t="s">
        <v>670</v>
      </c>
      <c r="C289" s="105">
        <v>59995</v>
      </c>
      <c r="D289" s="117">
        <f t="shared" si="8"/>
        <v>52345.637500000004</v>
      </c>
    </row>
    <row r="290" spans="1:4" s="96" customFormat="1" ht="20" x14ac:dyDescent="0.25">
      <c r="A290" s="94" t="s">
        <v>671</v>
      </c>
      <c r="B290" s="94" t="s">
        <v>672</v>
      </c>
      <c r="C290" s="105">
        <v>61995</v>
      </c>
      <c r="D290" s="117">
        <f t="shared" si="8"/>
        <v>54090.637500000004</v>
      </c>
    </row>
    <row r="291" spans="1:4" s="96" customFormat="1" x14ac:dyDescent="0.25">
      <c r="A291" s="94" t="s">
        <v>673</v>
      </c>
      <c r="B291" s="94" t="s">
        <v>674</v>
      </c>
      <c r="C291" s="105">
        <v>39995</v>
      </c>
      <c r="D291" s="117">
        <f t="shared" si="8"/>
        <v>34895.637500000004</v>
      </c>
    </row>
    <row r="292" spans="1:4" s="96" customFormat="1" x14ac:dyDescent="0.25">
      <c r="A292" s="94" t="s">
        <v>675</v>
      </c>
      <c r="B292" s="94" t="s">
        <v>704</v>
      </c>
      <c r="C292" s="105">
        <v>79995</v>
      </c>
      <c r="D292" s="117">
        <f t="shared" si="8"/>
        <v>69795.637499999997</v>
      </c>
    </row>
    <row r="293" spans="1:4" s="96" customFormat="1" ht="20" x14ac:dyDescent="0.25">
      <c r="A293" s="94" t="s">
        <v>402</v>
      </c>
      <c r="B293" s="94" t="s">
        <v>690</v>
      </c>
      <c r="C293" s="105">
        <v>1995</v>
      </c>
      <c r="D293" s="117">
        <f>SUM(C293*0.99)</f>
        <v>1975.05</v>
      </c>
    </row>
    <row r="294" spans="1:4" s="96" customFormat="1" ht="20" x14ac:dyDescent="0.25">
      <c r="A294" s="94" t="s">
        <v>682</v>
      </c>
      <c r="B294" s="94" t="s">
        <v>691</v>
      </c>
      <c r="C294" s="105">
        <v>1995</v>
      </c>
      <c r="D294" s="117">
        <f t="shared" ref="D294:D307" si="9">SUM(C294*0.99)</f>
        <v>1975.05</v>
      </c>
    </row>
    <row r="295" spans="1:4" s="96" customFormat="1" ht="20" x14ac:dyDescent="0.25">
      <c r="A295" s="94" t="s">
        <v>403</v>
      </c>
      <c r="B295" s="94" t="s">
        <v>703</v>
      </c>
      <c r="C295" s="105">
        <v>3995</v>
      </c>
      <c r="D295" s="117">
        <f t="shared" si="9"/>
        <v>3955.05</v>
      </c>
    </row>
    <row r="296" spans="1:4" s="96" customFormat="1" ht="20" x14ac:dyDescent="0.25">
      <c r="A296" s="94" t="s">
        <v>404</v>
      </c>
      <c r="B296" s="94" t="s">
        <v>692</v>
      </c>
      <c r="C296" s="105">
        <v>15500</v>
      </c>
      <c r="D296" s="117">
        <f t="shared" si="9"/>
        <v>15345</v>
      </c>
    </row>
    <row r="297" spans="1:4" s="96" customFormat="1" ht="20" x14ac:dyDescent="0.25">
      <c r="A297" s="94" t="s">
        <v>405</v>
      </c>
      <c r="B297" s="94" t="s">
        <v>693</v>
      </c>
      <c r="C297" s="105">
        <v>21500</v>
      </c>
      <c r="D297" s="117">
        <f t="shared" si="9"/>
        <v>21285</v>
      </c>
    </row>
    <row r="298" spans="1:4" s="96" customFormat="1" ht="20" x14ac:dyDescent="0.25">
      <c r="A298" s="94" t="s">
        <v>406</v>
      </c>
      <c r="B298" s="94" t="s">
        <v>694</v>
      </c>
      <c r="C298" s="105">
        <v>27500</v>
      </c>
      <c r="D298" s="117">
        <f t="shared" si="9"/>
        <v>27225</v>
      </c>
    </row>
    <row r="299" spans="1:4" s="96" customFormat="1" ht="20" x14ac:dyDescent="0.25">
      <c r="A299" s="94" t="s">
        <v>407</v>
      </c>
      <c r="B299" s="94" t="s">
        <v>695</v>
      </c>
      <c r="C299" s="105">
        <v>33000</v>
      </c>
      <c r="D299" s="117">
        <f t="shared" si="9"/>
        <v>32670</v>
      </c>
    </row>
    <row r="300" spans="1:4" s="96" customFormat="1" x14ac:dyDescent="0.25">
      <c r="A300" s="94" t="s">
        <v>408</v>
      </c>
      <c r="B300" s="94" t="s">
        <v>409</v>
      </c>
      <c r="C300" s="105">
        <v>250</v>
      </c>
      <c r="D300" s="117">
        <f t="shared" si="9"/>
        <v>247.5</v>
      </c>
    </row>
    <row r="301" spans="1:4" s="96" customFormat="1" ht="20" x14ac:dyDescent="0.25">
      <c r="A301" s="94" t="s">
        <v>683</v>
      </c>
      <c r="B301" s="94" t="s">
        <v>696</v>
      </c>
      <c r="C301" s="105">
        <v>1000</v>
      </c>
      <c r="D301" s="117">
        <f t="shared" si="9"/>
        <v>990</v>
      </c>
    </row>
    <row r="302" spans="1:4" s="96" customFormat="1" ht="20" x14ac:dyDescent="0.25">
      <c r="A302" s="94" t="s">
        <v>684</v>
      </c>
      <c r="B302" s="94" t="s">
        <v>697</v>
      </c>
      <c r="C302" s="105">
        <v>1600</v>
      </c>
      <c r="D302" s="117">
        <f t="shared" si="9"/>
        <v>1584</v>
      </c>
    </row>
    <row r="303" spans="1:4" s="96" customFormat="1" x14ac:dyDescent="0.25">
      <c r="A303" s="94" t="s">
        <v>685</v>
      </c>
      <c r="B303" s="94" t="s">
        <v>698</v>
      </c>
      <c r="C303" s="105">
        <v>7000</v>
      </c>
      <c r="D303" s="117">
        <f t="shared" si="9"/>
        <v>6930</v>
      </c>
    </row>
    <row r="304" spans="1:4" s="96" customFormat="1" x14ac:dyDescent="0.25">
      <c r="A304" s="94" t="s">
        <v>686</v>
      </c>
      <c r="B304" s="94" t="s">
        <v>699</v>
      </c>
      <c r="C304" s="105">
        <v>13500</v>
      </c>
      <c r="D304" s="117">
        <f t="shared" si="9"/>
        <v>13365</v>
      </c>
    </row>
    <row r="305" spans="1:4" s="96" customFormat="1" x14ac:dyDescent="0.25">
      <c r="A305" s="94" t="s">
        <v>687</v>
      </c>
      <c r="B305" s="94" t="s">
        <v>700</v>
      </c>
      <c r="C305" s="105">
        <v>19500</v>
      </c>
      <c r="D305" s="117">
        <f t="shared" si="9"/>
        <v>19305</v>
      </c>
    </row>
    <row r="306" spans="1:4" s="96" customFormat="1" x14ac:dyDescent="0.25">
      <c r="A306" s="94" t="s">
        <v>688</v>
      </c>
      <c r="B306" s="94" t="s">
        <v>701</v>
      </c>
      <c r="C306" s="105">
        <v>25500</v>
      </c>
      <c r="D306" s="117">
        <f t="shared" si="9"/>
        <v>25245</v>
      </c>
    </row>
    <row r="307" spans="1:4" s="96" customFormat="1" x14ac:dyDescent="0.25">
      <c r="A307" s="94" t="s">
        <v>689</v>
      </c>
      <c r="B307" s="94" t="s">
        <v>702</v>
      </c>
      <c r="C307" s="105">
        <v>31000</v>
      </c>
      <c r="D307" s="117">
        <f t="shared" si="9"/>
        <v>30690</v>
      </c>
    </row>
    <row r="308" spans="1:4" s="96" customFormat="1" x14ac:dyDescent="0.25">
      <c r="A308" s="94" t="s">
        <v>705</v>
      </c>
      <c r="B308" s="94" t="s">
        <v>706</v>
      </c>
      <c r="C308" s="105">
        <v>2995</v>
      </c>
      <c r="D308" s="105">
        <f t="shared" si="8"/>
        <v>2613.1375000000003</v>
      </c>
    </row>
    <row r="309" spans="1:4" s="96" customFormat="1" x14ac:dyDescent="0.25">
      <c r="A309" s="94" t="s">
        <v>707</v>
      </c>
      <c r="B309" s="94" t="s">
        <v>723</v>
      </c>
      <c r="C309" s="105">
        <v>195</v>
      </c>
      <c r="D309" s="105">
        <f t="shared" si="8"/>
        <v>170.13750000000002</v>
      </c>
    </row>
    <row r="310" spans="1:4" s="96" customFormat="1" x14ac:dyDescent="0.25">
      <c r="A310" s="94" t="s">
        <v>708</v>
      </c>
      <c r="B310" s="94" t="s">
        <v>722</v>
      </c>
      <c r="C310" s="105">
        <v>695</v>
      </c>
      <c r="D310" s="105">
        <f t="shared" si="8"/>
        <v>606.38750000000005</v>
      </c>
    </row>
    <row r="311" spans="1:4" s="96" customFormat="1" x14ac:dyDescent="0.25">
      <c r="A311" s="94" t="s">
        <v>709</v>
      </c>
      <c r="B311" s="94" t="s">
        <v>724</v>
      </c>
      <c r="C311" s="105">
        <v>2995</v>
      </c>
      <c r="D311" s="105">
        <f t="shared" si="8"/>
        <v>2613.1375000000003</v>
      </c>
    </row>
    <row r="312" spans="1:4" s="96" customFormat="1" x14ac:dyDescent="0.25">
      <c r="A312" s="94" t="s">
        <v>710</v>
      </c>
      <c r="B312" s="94" t="s">
        <v>725</v>
      </c>
      <c r="C312" s="105">
        <v>22495</v>
      </c>
      <c r="D312" s="105">
        <f t="shared" si="8"/>
        <v>19626.887500000001</v>
      </c>
    </row>
    <row r="313" spans="1:4" s="96" customFormat="1" x14ac:dyDescent="0.25">
      <c r="A313" s="94" t="s">
        <v>711</v>
      </c>
      <c r="B313" s="94" t="s">
        <v>726</v>
      </c>
      <c r="C313" s="105">
        <v>4995</v>
      </c>
      <c r="D313" s="105">
        <f t="shared" si="8"/>
        <v>4358.1374999999998</v>
      </c>
    </row>
    <row r="314" spans="1:4" s="96" customFormat="1" x14ac:dyDescent="0.25">
      <c r="A314" s="94" t="s">
        <v>712</v>
      </c>
      <c r="B314" s="94" t="s">
        <v>728</v>
      </c>
      <c r="C314" s="105">
        <v>795</v>
      </c>
      <c r="D314" s="105">
        <f t="shared" si="8"/>
        <v>693.63750000000005</v>
      </c>
    </row>
    <row r="315" spans="1:4" s="94" customFormat="1" ht="10" x14ac:dyDescent="0.25">
      <c r="A315" s="94" t="s">
        <v>713</v>
      </c>
      <c r="B315" s="94" t="s">
        <v>727</v>
      </c>
      <c r="C315" s="105">
        <v>1595</v>
      </c>
      <c r="D315" s="105">
        <f t="shared" si="8"/>
        <v>1391.6375</v>
      </c>
    </row>
    <row r="316" spans="1:4" s="96" customFormat="1" ht="20" x14ac:dyDescent="0.25">
      <c r="A316" s="94" t="s">
        <v>714</v>
      </c>
      <c r="B316" s="94" t="s">
        <v>721</v>
      </c>
      <c r="C316" s="105">
        <v>20</v>
      </c>
      <c r="D316" s="105">
        <f t="shared" si="8"/>
        <v>17.450000000000003</v>
      </c>
    </row>
    <row r="317" spans="1:4" s="96" customFormat="1" ht="20" x14ac:dyDescent="0.25">
      <c r="A317" s="94" t="s">
        <v>715</v>
      </c>
      <c r="B317" s="94" t="s">
        <v>720</v>
      </c>
      <c r="C317" s="105">
        <v>20</v>
      </c>
      <c r="D317" s="105">
        <f t="shared" si="8"/>
        <v>17.450000000000003</v>
      </c>
    </row>
    <row r="318" spans="1:4" s="96" customFormat="1" ht="20" x14ac:dyDescent="0.25">
      <c r="A318" s="94" t="s">
        <v>716</v>
      </c>
      <c r="B318" s="94" t="s">
        <v>719</v>
      </c>
      <c r="C318" s="105">
        <v>20</v>
      </c>
      <c r="D318" s="105">
        <f t="shared" si="8"/>
        <v>17.450000000000003</v>
      </c>
    </row>
    <row r="319" spans="1:4" s="96" customFormat="1" x14ac:dyDescent="0.25">
      <c r="A319" s="94" t="s">
        <v>717</v>
      </c>
      <c r="B319" s="94" t="s">
        <v>718</v>
      </c>
      <c r="C319" s="105">
        <v>399</v>
      </c>
      <c r="D319" s="105">
        <f t="shared" si="8"/>
        <v>348.1275</v>
      </c>
    </row>
    <row r="320" spans="1:4" s="96" customFormat="1" x14ac:dyDescent="0.25">
      <c r="A320" s="94" t="s">
        <v>729</v>
      </c>
      <c r="B320" s="94" t="s">
        <v>730</v>
      </c>
      <c r="C320" s="105" t="s">
        <v>731</v>
      </c>
      <c r="D320" s="94"/>
    </row>
    <row r="321" spans="1:4" s="96" customFormat="1" x14ac:dyDescent="0.25">
      <c r="A321" s="94"/>
      <c r="B321" s="94"/>
      <c r="C321" s="105"/>
      <c r="D321" s="94"/>
    </row>
    <row r="322" spans="1:4" s="96" customFormat="1" x14ac:dyDescent="0.25">
      <c r="A322" s="106"/>
      <c r="B322" s="106"/>
      <c r="C322" s="107"/>
      <c r="D322" s="106"/>
    </row>
    <row r="323" spans="1:4" x14ac:dyDescent="0.25">
      <c r="A323" s="116"/>
    </row>
  </sheetData>
  <autoFilter ref="A1:BK322" xr:uid="{00000000-0009-0000-0000-00000D000000}"/>
  <phoneticPr fontId="4" type="noConversion"/>
  <pageMargins left="0.75" right="0.75" top="1" bottom="1" header="0.5" footer="0.5"/>
  <pageSetup orientation="landscape" r:id="rId1"/>
  <headerFooter alignWithMargins="0">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M48"/>
  <sheetViews>
    <sheetView zoomScale="60" zoomScaleNormal="60" workbookViewId="0">
      <selection activeCell="A39" sqref="A39"/>
    </sheetView>
  </sheetViews>
  <sheetFormatPr defaultColWidth="8.6328125" defaultRowHeight="12.5" x14ac:dyDescent="0.25"/>
  <cols>
    <col min="1" max="1" width="44.54296875" style="8" customWidth="1"/>
    <col min="2" max="2" width="46" style="8" customWidth="1"/>
    <col min="3" max="3" width="36.54296875" style="8" customWidth="1"/>
    <col min="4" max="4" width="20.36328125" style="8" customWidth="1"/>
    <col min="5" max="5" width="19.6328125" style="8" customWidth="1"/>
    <col min="6" max="7" width="24.453125" style="8" customWidth="1"/>
    <col min="8" max="8" width="26" style="8" customWidth="1"/>
    <col min="9" max="9" width="26.08984375" style="8" customWidth="1"/>
    <col min="10" max="10" width="21.54296875" style="8" customWidth="1"/>
    <col min="11" max="11" width="24" style="8" bestFit="1" customWidth="1"/>
    <col min="12" max="12" width="28.6328125" style="8" hidden="1" customWidth="1"/>
    <col min="13" max="13" width="73.90625" style="8" customWidth="1"/>
    <col min="14" max="14" width="13.6328125" style="8" customWidth="1"/>
    <col min="15" max="16384" width="8.6328125" style="8"/>
  </cols>
  <sheetData>
    <row r="1" spans="1:7" s="10" customFormat="1" ht="20" x14ac:dyDescent="0.4">
      <c r="A1" s="127" t="s">
        <v>324</v>
      </c>
      <c r="B1" s="128"/>
      <c r="C1" s="128"/>
      <c r="D1" s="128"/>
      <c r="E1" s="128"/>
      <c r="F1" s="128"/>
      <c r="G1" s="45"/>
    </row>
    <row r="2" spans="1:7" s="10" customFormat="1" ht="10" x14ac:dyDescent="0.2"/>
    <row r="3" spans="1:7" x14ac:dyDescent="0.25">
      <c r="A3" s="129" t="s">
        <v>325</v>
      </c>
      <c r="B3" s="130"/>
      <c r="C3" s="133" t="s">
        <v>326</v>
      </c>
      <c r="D3" s="134"/>
    </row>
    <row r="4" spans="1:7" x14ac:dyDescent="0.25">
      <c r="A4" s="131"/>
      <c r="B4" s="132"/>
      <c r="C4" s="134"/>
      <c r="D4" s="134"/>
      <c r="E4" s="11"/>
      <c r="F4" s="11"/>
      <c r="G4" s="11"/>
    </row>
    <row r="5" spans="1:7" ht="17.5" x14ac:dyDescent="0.35">
      <c r="A5" s="36" t="s">
        <v>327</v>
      </c>
      <c r="B5" s="37"/>
      <c r="C5" s="12" t="s">
        <v>327</v>
      </c>
      <c r="D5" s="13" t="s">
        <v>328</v>
      </c>
    </row>
    <row r="6" spans="1:7" ht="17.5" x14ac:dyDescent="0.35">
      <c r="A6" s="14" t="s">
        <v>329</v>
      </c>
      <c r="B6" s="15" t="e">
        <f>#REF!</f>
        <v>#REF!</v>
      </c>
      <c r="C6" s="16" t="s">
        <v>330</v>
      </c>
      <c r="D6" s="17"/>
    </row>
    <row r="7" spans="1:7" ht="17.5" x14ac:dyDescent="0.35">
      <c r="A7" s="14" t="s">
        <v>331</v>
      </c>
      <c r="B7" s="15" t="e">
        <f>#REF!</f>
        <v>#REF!</v>
      </c>
      <c r="C7" s="16" t="s">
        <v>332</v>
      </c>
      <c r="D7" s="17"/>
    </row>
    <row r="8" spans="1:7" ht="17.5" x14ac:dyDescent="0.35">
      <c r="A8" s="14" t="s">
        <v>333</v>
      </c>
      <c r="B8" s="15" t="e">
        <f>#REF!</f>
        <v>#REF!</v>
      </c>
      <c r="C8" s="16" t="s">
        <v>334</v>
      </c>
      <c r="D8" s="17"/>
    </row>
    <row r="9" spans="1:7" ht="17.5" x14ac:dyDescent="0.35">
      <c r="A9" s="14" t="s">
        <v>335</v>
      </c>
      <c r="B9" s="15" t="e">
        <f>#REF!</f>
        <v>#REF!</v>
      </c>
      <c r="C9" s="16" t="s">
        <v>336</v>
      </c>
      <c r="D9" s="17"/>
    </row>
    <row r="10" spans="1:7" ht="17.5" x14ac:dyDescent="0.35">
      <c r="A10" s="14" t="s">
        <v>337</v>
      </c>
      <c r="B10" s="15" t="e">
        <f>#REF!</f>
        <v>#REF!</v>
      </c>
      <c r="C10" s="79" t="s">
        <v>338</v>
      </c>
      <c r="D10" s="17"/>
    </row>
    <row r="11" spans="1:7" ht="17.5" x14ac:dyDescent="0.35">
      <c r="A11" s="14" t="s">
        <v>339</v>
      </c>
      <c r="B11" s="15" t="e">
        <f>#REF!</f>
        <v>#REF!</v>
      </c>
      <c r="C11" s="16" t="s">
        <v>340</v>
      </c>
      <c r="D11" s="15" t="e">
        <f>#REF!</f>
        <v>#REF!</v>
      </c>
    </row>
    <row r="12" spans="1:7" ht="17.5" x14ac:dyDescent="0.35">
      <c r="A12" s="14" t="s">
        <v>341</v>
      </c>
      <c r="B12" s="15" t="e">
        <f>#REF!</f>
        <v>#REF!</v>
      </c>
      <c r="C12" s="16" t="s">
        <v>342</v>
      </c>
      <c r="D12" s="17"/>
    </row>
    <row r="13" spans="1:7" ht="17.5" x14ac:dyDescent="0.35">
      <c r="A13" s="14" t="s">
        <v>343</v>
      </c>
      <c r="B13" s="15" t="e">
        <f>#REF!</f>
        <v>#REF!</v>
      </c>
      <c r="C13" s="16" t="s">
        <v>344</v>
      </c>
      <c r="D13" s="15" t="e">
        <f>#REF!</f>
        <v>#REF!</v>
      </c>
    </row>
    <row r="14" spans="1:7" ht="17.5" x14ac:dyDescent="0.35">
      <c r="A14" s="14" t="s">
        <v>345</v>
      </c>
      <c r="B14" s="15" t="e">
        <f>#REF!</f>
        <v>#REF!</v>
      </c>
      <c r="C14" s="16" t="s">
        <v>346</v>
      </c>
      <c r="D14" s="17"/>
    </row>
    <row r="15" spans="1:7" ht="17.5" x14ac:dyDescent="0.35">
      <c r="A15" s="14" t="s">
        <v>347</v>
      </c>
      <c r="B15" s="15" t="e">
        <f>#REF!</f>
        <v>#REF!</v>
      </c>
      <c r="C15" s="16" t="s">
        <v>348</v>
      </c>
      <c r="D15" s="15" t="e">
        <f>#REF!</f>
        <v>#REF!</v>
      </c>
    </row>
    <row r="16" spans="1:7" ht="17.5" x14ac:dyDescent="0.35">
      <c r="A16" s="14" t="s">
        <v>349</v>
      </c>
      <c r="B16" s="15" t="e">
        <f>#REF!</f>
        <v>#REF!</v>
      </c>
      <c r="C16" s="16" t="s">
        <v>350</v>
      </c>
      <c r="D16" s="17"/>
    </row>
    <row r="17" spans="1:12" ht="18" thickBot="1" x14ac:dyDescent="0.4">
      <c r="A17" s="18" t="s">
        <v>351</v>
      </c>
      <c r="B17" s="19"/>
      <c r="C17" s="20" t="s">
        <v>351</v>
      </c>
      <c r="D17" s="21" t="e">
        <f>#REF!</f>
        <v>#REF!</v>
      </c>
    </row>
    <row r="18" spans="1:12" ht="18.5" thickTop="1" thickBot="1" x14ac:dyDescent="0.4">
      <c r="A18" s="22" t="s">
        <v>352</v>
      </c>
      <c r="B18" s="23" t="e">
        <f>SUM(B6:B16)</f>
        <v>#REF!</v>
      </c>
      <c r="C18" s="22" t="s">
        <v>353</v>
      </c>
      <c r="D18" s="23" t="e">
        <f>SUM(D6:D17)</f>
        <v>#REF!</v>
      </c>
    </row>
    <row r="19" spans="1:12" ht="36" thickTop="1" thickBot="1" x14ac:dyDescent="0.4">
      <c r="A19" s="81" t="s">
        <v>354</v>
      </c>
      <c r="B19" s="25" t="e">
        <f>#REF!</f>
        <v>#REF!</v>
      </c>
      <c r="C19" s="82"/>
      <c r="D19" s="80"/>
    </row>
    <row r="20" spans="1:12" ht="18.5" thickTop="1" thickBot="1" x14ac:dyDescent="0.4">
      <c r="A20" s="24" t="s">
        <v>355</v>
      </c>
      <c r="B20" s="25" t="e">
        <f>B18+D18+B19</f>
        <v>#REF!</v>
      </c>
      <c r="C20" s="26"/>
      <c r="D20" s="26"/>
    </row>
    <row r="21" spans="1:12" ht="13" thickTop="1" x14ac:dyDescent="0.25">
      <c r="A21" s="27"/>
      <c r="B21" s="27"/>
      <c r="C21" s="27"/>
      <c r="D21" s="27"/>
    </row>
    <row r="22" spans="1:12" ht="20" x14ac:dyDescent="0.4">
      <c r="A22" s="135" t="s">
        <v>356</v>
      </c>
      <c r="B22" s="136"/>
      <c r="C22" s="136"/>
      <c r="D22" s="137"/>
    </row>
    <row r="23" spans="1:12" ht="23.4" customHeight="1" x14ac:dyDescent="0.35">
      <c r="A23" s="28" t="s">
        <v>357</v>
      </c>
      <c r="B23" s="32" t="s">
        <v>358</v>
      </c>
      <c r="C23" s="124" t="s">
        <v>359</v>
      </c>
      <c r="D23" s="138"/>
    </row>
    <row r="24" spans="1:12" ht="35.4" customHeight="1" x14ac:dyDescent="0.35">
      <c r="A24" s="28" t="s">
        <v>360</v>
      </c>
      <c r="B24" s="32" t="s">
        <v>676</v>
      </c>
      <c r="C24" s="118"/>
      <c r="D24" s="119"/>
    </row>
    <row r="25" spans="1:12" ht="35.4" customHeight="1" x14ac:dyDescent="0.35">
      <c r="A25" s="28" t="s">
        <v>362</v>
      </c>
      <c r="B25" s="32" t="s">
        <v>363</v>
      </c>
      <c r="C25" s="124" t="s">
        <v>364</v>
      </c>
      <c r="D25" s="125"/>
      <c r="E25" s="83"/>
    </row>
    <row r="26" spans="1:12" ht="40.5" customHeight="1" x14ac:dyDescent="0.35">
      <c r="A26" s="28" t="s">
        <v>365</v>
      </c>
      <c r="B26" s="32" t="s">
        <v>366</v>
      </c>
      <c r="C26" s="118" t="s">
        <v>367</v>
      </c>
      <c r="D26" s="119"/>
      <c r="E26" s="83"/>
    </row>
    <row r="27" spans="1:12" ht="39.75" customHeight="1" x14ac:dyDescent="0.35">
      <c r="A27" s="28" t="s">
        <v>677</v>
      </c>
      <c r="B27" s="32" t="s">
        <v>452</v>
      </c>
      <c r="C27" s="118" t="s">
        <v>370</v>
      </c>
      <c r="D27" s="119"/>
      <c r="E27" s="83"/>
    </row>
    <row r="28" spans="1:12" ht="59.4" customHeight="1" x14ac:dyDescent="0.35">
      <c r="A28" s="28" t="s">
        <v>678</v>
      </c>
      <c r="B28" s="32" t="s">
        <v>249</v>
      </c>
      <c r="C28" s="118" t="s">
        <v>372</v>
      </c>
      <c r="D28" s="126"/>
      <c r="E28" s="84"/>
    </row>
    <row r="29" spans="1:12" ht="49.5" customHeight="1" x14ac:dyDescent="0.35">
      <c r="A29" s="28" t="s">
        <v>374</v>
      </c>
      <c r="B29" s="33" t="s">
        <v>375</v>
      </c>
      <c r="C29" s="118" t="s">
        <v>679</v>
      </c>
      <c r="D29" s="119"/>
    </row>
    <row r="30" spans="1:12" ht="30.75" customHeight="1" x14ac:dyDescent="0.35">
      <c r="A30" s="28" t="s">
        <v>377</v>
      </c>
      <c r="B30" s="34">
        <v>12</v>
      </c>
      <c r="C30" s="118" t="s">
        <v>378</v>
      </c>
      <c r="D30" s="119"/>
      <c r="H30" s="41"/>
      <c r="I30" s="41"/>
      <c r="J30" s="41"/>
    </row>
    <row r="31" spans="1:12" ht="37.5" customHeight="1" x14ac:dyDescent="0.35">
      <c r="A31" s="28" t="s">
        <v>379</v>
      </c>
      <c r="B31" s="85">
        <v>0</v>
      </c>
      <c r="C31" s="118" t="s">
        <v>380</v>
      </c>
      <c r="D31" s="119"/>
      <c r="H31" s="9"/>
      <c r="I31" s="9"/>
      <c r="J31" s="9"/>
      <c r="K31" s="39"/>
    </row>
    <row r="32" spans="1:12" ht="29" customHeight="1" x14ac:dyDescent="0.7">
      <c r="A32" s="120" t="s">
        <v>381</v>
      </c>
      <c r="B32" s="121"/>
      <c r="C32" s="121"/>
      <c r="D32" s="121"/>
      <c r="E32" s="121"/>
      <c r="F32" s="121"/>
      <c r="G32" s="121"/>
      <c r="H32" s="121"/>
      <c r="I32" s="121"/>
      <c r="J32" s="121"/>
      <c r="K32" s="121"/>
      <c r="L32" s="121"/>
    </row>
    <row r="33" spans="1:13" ht="54" customHeight="1" x14ac:dyDescent="0.4">
      <c r="A33" s="29" t="s">
        <v>382</v>
      </c>
      <c r="B33" s="29" t="s">
        <v>383</v>
      </c>
      <c r="C33" s="29" t="s">
        <v>384</v>
      </c>
      <c r="D33" s="30" t="s">
        <v>680</v>
      </c>
      <c r="E33" s="31" t="s">
        <v>386</v>
      </c>
      <c r="F33" s="31" t="s">
        <v>387</v>
      </c>
      <c r="G33" s="31" t="s">
        <v>388</v>
      </c>
      <c r="H33" s="31" t="s">
        <v>389</v>
      </c>
      <c r="I33" s="31" t="s">
        <v>390</v>
      </c>
      <c r="J33" s="31" t="s">
        <v>391</v>
      </c>
      <c r="K33" s="42" t="s">
        <v>392</v>
      </c>
      <c r="L33" s="31" t="s">
        <v>393</v>
      </c>
    </row>
    <row r="34" spans="1:13" ht="72.75" customHeight="1" x14ac:dyDescent="0.55000000000000004">
      <c r="A34" s="38" t="str">
        <f>IF(B24="VAR", IF(B28="Yes",IF(AND(B28="Yes",B26="Giga",B29="Passthrough"),"GSS-UPG-PRM-PSS",
IF(AND(B28="Yes",B26&lt;&gt;"Giga",B29="Passthrough"),"Invalid Entry: Support provider should be Giga",
IF(AND(B28="Yes",OR(B26="VAR",B26="Disti"),B29="Plus"),"GSP-UPG-PRM-PLS",
IF(AND(B28="Yes",OR(B26="VAR",B26="Disti"),B29="Premier"),"GSP-UPG-PRM-PMR",
IF(AND(B28="Yes",OR(B26="VAR",B26="Disti"),B29="Professional"),"GSP-UPG-PRM-PRO","Invalid Entry"))))),
IF(AND(B26="GIGA",B27="Standard",B29="Passthrough"),"GSS-FYS-STD-PSS",
IF(AND(B26="GIGA",B27="Premium",B29="Passthrough"),"GSS-FYS-PRM-PSS",
IF(AND(OR(B26="VAR",B26="DISTI"),OR(B27="Standard",B27="Premium"),B29="Passthrough"),"Invalid Entry Support Provider must be GIGA for Passthrough",
IF(AND(OR(B26="VAR",B26="DISTI"),B27="Standard",B29="Plus"),"GSP-FYS-STD-PLS",
IF(AND(OR(B26="VAR",B26="DISTI"),B27="Standard",B29="Premier"),"GSP-FYS-STD-PMR",
IF(AND(OR(B26="VAR",B26="DISTI"),B27="Standard",B29="Professional"),"GSP-FYS-STD-PRO",
IF(AND(OR(B26="VAR",B26="DISTI"),B27="Premium",B29="Plus"),"GSP-FYS-PRM-PLS",
IF(AND(OR(B26="VAR",B26="DISTI"),B27="Premium",B29="Premier"),"GSP-FYS-PRM-PMR",
IF(AND(OR(B26="VAR",B26="DISTI"),B27="Premium",B29="Professional"),"GSP-FYS-PRM-PRO","Invalid Entry2")))))))))),"Please Select Cell B24 as VAR")</f>
        <v>Please Select Cell B24 as VAR</v>
      </c>
      <c r="B34" s="1" t="str">
        <f>IF(B24="VAR",VLOOKUP(A34,'Gigamon DIR Price List'!A:D,2,FALSE),"Please select cell B24 as VAR")</f>
        <v>Please select cell B24 as VAR</v>
      </c>
      <c r="C34" s="2" t="e">
        <f>IF(B28="Yes",B18*0.05,IF(B27="Standard",B18*0.12,IF(B27="Premium",B18*0.17,"Oops")))</f>
        <v>#REF!</v>
      </c>
      <c r="D34" s="7">
        <f>B30</f>
        <v>12</v>
      </c>
      <c r="E34" s="35" t="e">
        <f>C34*(D34/12)</f>
        <v>#REF!</v>
      </c>
      <c r="F34" s="55" t="e">
        <f>IF(AND(B26="GIGA",B29="Passthrough",B25="One Off"),0,
IF(AND(B26="GIGA",B29="Passthrough",B25="Registered"),-0.05*E34,
IF(AND(B26="GIGA",B29="Passthrough",B25="Silver/Gold/Platinum"),-0.1*E34,
IF(AND(OR(B26="VAR",B26="Disti"),B29="Passthrough"),"Invalid:Support Provider Shoud Be Giga",
IF(AND(B26="VAR",B29="Plus"),-0.2*E34,
IF(AND(B26="VAR",B29="Premier"),-0.35*E34,
IF(AND(B26="VAR",B29="Professional"),-0.45*E34,
IF(B26="Disti",-0.1*E34,"error"))))))))</f>
        <v>#REF!</v>
      </c>
      <c r="G34" s="55" t="str">
        <f>IFERROR(E34+F34,"Correction Needed in Selection")</f>
        <v>Correction Needed in Selection</v>
      </c>
      <c r="H34" s="55">
        <f>IFERROR(IF(B30&gt;=36,-0.15*G34,0),"Correction Needed in Selection")</f>
        <v>0</v>
      </c>
      <c r="I34" s="56" t="str">
        <f>IFERROR( -B31*E34,"Correction Needed in Selection")</f>
        <v>Correction Needed in Selection</v>
      </c>
      <c r="J34" s="55" t="str">
        <f>IFERROR((I34+H34+F34),"Correction Needed in Selection")</f>
        <v>Correction Needed in Selection</v>
      </c>
      <c r="K34" s="57" t="str">
        <f>IFERROR((E34+J34),"Correction Needed in Selection")</f>
        <v>Correction Needed in Selection</v>
      </c>
      <c r="L34" s="40">
        <f>IF(B29="Passthrough",0.1, IF(B29="Plus",0.2,IF(B29="Premier",0.35,IF(B29="Professional",0.45,"error"))))</f>
        <v>0.1</v>
      </c>
      <c r="M34" s="86"/>
    </row>
    <row r="35" spans="1:13" ht="56.25" customHeight="1" x14ac:dyDescent="0.25">
      <c r="A35" s="50" t="s">
        <v>394</v>
      </c>
      <c r="B35" s="46"/>
      <c r="C35" s="47"/>
      <c r="D35" s="48"/>
      <c r="E35" s="49"/>
      <c r="F35" s="60" t="str">
        <f>IFERROR(-F34/E34, "Correction Needed in Selection")</f>
        <v>Correction Needed in Selection</v>
      </c>
      <c r="G35" s="52"/>
      <c r="H35" s="60" t="str">
        <f>IFERROR(-H34/G34, "Correction Needed in Selection")</f>
        <v>Correction Needed in Selection</v>
      </c>
      <c r="I35" s="59" t="e">
        <f>-I34/E34</f>
        <v>#VALUE!</v>
      </c>
      <c r="J35" s="53"/>
      <c r="K35" s="87" t="str">
        <f>IFERROR(-J34/E34,"Correction Needed in Selection")</f>
        <v>Correction Needed in Selection</v>
      </c>
      <c r="L35" s="40"/>
    </row>
    <row r="36" spans="1:13" ht="66.75" customHeight="1" x14ac:dyDescent="0.7">
      <c r="A36" s="122" t="s">
        <v>395</v>
      </c>
      <c r="B36" s="123"/>
      <c r="C36" s="123"/>
      <c r="D36" s="123"/>
      <c r="E36" s="123"/>
      <c r="F36" s="123"/>
      <c r="G36" s="123"/>
      <c r="H36" s="123"/>
      <c r="I36" s="123"/>
      <c r="J36" s="123"/>
      <c r="K36" s="123"/>
      <c r="L36" s="123"/>
    </row>
    <row r="37" spans="1:13" ht="54" customHeight="1" x14ac:dyDescent="0.4">
      <c r="A37" s="29" t="s">
        <v>382</v>
      </c>
      <c r="B37" s="29" t="s">
        <v>383</v>
      </c>
      <c r="C37" s="29" t="s">
        <v>384</v>
      </c>
      <c r="D37" s="30" t="s">
        <v>680</v>
      </c>
      <c r="E37" s="31" t="s">
        <v>386</v>
      </c>
      <c r="F37" s="31" t="s">
        <v>396</v>
      </c>
      <c r="G37" s="31" t="s">
        <v>397</v>
      </c>
      <c r="H37" s="31" t="s">
        <v>389</v>
      </c>
      <c r="I37" s="31" t="s">
        <v>390</v>
      </c>
      <c r="J37" s="31" t="s">
        <v>391</v>
      </c>
      <c r="K37" s="43" t="s">
        <v>398</v>
      </c>
      <c r="L37" s="31" t="s">
        <v>393</v>
      </c>
    </row>
    <row r="38" spans="1:13" ht="72.75" customHeight="1" x14ac:dyDescent="0.55000000000000004">
      <c r="A38" s="38" t="str">
        <f>IF(B24="DISTI", IF(B28="Yes",IF(AND(B28="Yes",B26="Giga",B29="Passthrough"),"GSS-UPG-PRM-PSS",
IF(AND(B28="Yes",B26&lt;&gt;"Giga",B29="Passthrough"),"Invalid Entry: Support provider should be Giga",
IF(AND(B28="Yes",OR(B26="VAR",B26="Disti"),B29="Plus"),"GSP-UPG-PRM-PLS",
IF(AND(B28="Yes",OR(B26="VAR",B26="Disti"),B29="Premier"),"GSP-UPG-PRM-PMR",
IF(AND(B28="Yes",OR(B26="VAR",B26="Disti"),B29="Professional"),"GSP-UPG-PRM-PRO","Invalid Entry"))))),
IF(AND(B26="GIGA",B27="Standard",B29="Passthrough"),"GSS-FYS-STD-PSS",
IF(AND(B26="GIGA",B27="Premium",B29="Passthrough"),"GSS-FYS-PRM-PSS",
IF(AND(OR(B26="VAR",B26="DISTI"),OR(B27="Standard",B27="Premium"),B29="Passthrough"),"Invalid Entry Support Provider must be GIGA for Passthrough",
IF(AND(OR(B26="VAR",B26="DISTI"),B27="Standard",B29="Plus"),"GSP-FYS-STD-PLS",
IF(AND(OR(B26="VAR",B26="DISTI"),B27="Standard",B29="Premier"),"GSP-FYS-STD-PMR",
IF(AND(OR(B26="VAR",B26="DISTI"),B27="Standard",B29="Professional"),"GSP-FYS-STD-PRO",
IF(AND(OR(B26="VAR",B26="DISTI"),B27="Premium",B29="Plus"),"GSP-FYS-PRM-PLS",
IF(AND(OR(B26="VAR",B26="DISTI"),B27="Premium",B29="Premier"),"GSP-FYS-PRM-PMR",
IF(AND(OR(B26="VAR",B26="DISTI"),B27="Premium",B29="Professional"),"GSP-FYS-PRM-PRO","Invalid Entry")))))))))),"Please Select Cell B24 as DISTI")</f>
        <v>GSS-FYS-PRM-PSS</v>
      </c>
      <c r="B38" s="1" t="str">
        <f>IFERROR(IF(B24="Disti",VLOOKUP(A38,'Gigamon DIR Price List'!A:D,2,FALSE),"Please Select Cell B24 as Disti"),"Correction Needed in Selection")</f>
        <v>Correction Needed in Selection</v>
      </c>
      <c r="C38" s="2" t="e">
        <f>IF(B24&lt;&gt;"Disti","Not Applicable",C34)</f>
        <v>#REF!</v>
      </c>
      <c r="D38" s="7">
        <f>IF(B24&lt;&gt;"Disti","Not Applicable",B30)</f>
        <v>12</v>
      </c>
      <c r="E38" s="35" t="e">
        <f>IF(B24&lt;&gt;"Disti","Not Applicable",E34)</f>
        <v>#REF!</v>
      </c>
      <c r="F38" s="44" t="e">
        <f>IF(B24&lt;&gt;"Disti","Not Applicable",
IF(AND(OR(B26="VAR",B26="Disti"),B29="Passthrough"), "Invalid:Support Provider Shoud Be Giga",
IF(AND(B24="Disti",B26&lt;&gt;"Disti"),(-((F35+0.05)*E34)),
IF(AND(B24="Disti",B26="Disti",B29="Passthrough"),"Please select Giga as Support Partner or choose Support Provider Level",
IF(AND(B24="Disti",B26="Disti",OR(B29="Plus",B29="Premier",B29="Professional")),-L34*E34,"Error")))))</f>
        <v>#VALUE!</v>
      </c>
      <c r="G38" s="44" t="e">
        <f>IF(B24&lt;&gt;"Disti","Not Applicable",E38+F38)</f>
        <v>#REF!</v>
      </c>
      <c r="H38" s="44">
        <f>IF(B24&lt;&gt;"Disti","Not Applicable",H34)</f>
        <v>0</v>
      </c>
      <c r="I38" s="44" t="e">
        <f>IF(B24&lt;&gt;"Disti","Not Applicable",-B31*E38)</f>
        <v>#REF!</v>
      </c>
      <c r="J38" s="58" t="e">
        <f>IF(B24&lt;&gt;"Disti","Not Applicable",I38+H38+F38)</f>
        <v>#REF!</v>
      </c>
      <c r="K38" s="88" t="str">
        <f>IFERROR(IF(B24&lt;&gt;"Disti","Not Applicable",G38+H38+I38),"Correction Needed in Selection")</f>
        <v>Correction Needed in Selection</v>
      </c>
      <c r="L38" s="40" t="str">
        <f>F39</f>
        <v>Correction Needed in Selection</v>
      </c>
      <c r="M38" s="86"/>
    </row>
    <row r="39" spans="1:13" ht="56.25" customHeight="1" x14ac:dyDescent="0.25">
      <c r="A39" s="50" t="s">
        <v>394</v>
      </c>
      <c r="B39" s="46"/>
      <c r="C39" s="47"/>
      <c r="D39" s="48"/>
      <c r="E39" s="49"/>
      <c r="F39" s="60" t="str">
        <f>IFERROR(IF(B24&lt;&gt;"Disti","Not Applicable",-F38/E38),"Correction Needed in Selection")</f>
        <v>Correction Needed in Selection</v>
      </c>
      <c r="G39" s="3"/>
      <c r="H39" s="51" t="str">
        <f>IF(B24&lt;&gt;"Disti","Not Applicable","Same as VAR Recommendation")</f>
        <v>Same as VAR Recommendation</v>
      </c>
      <c r="I39" s="59" t="e">
        <f>IF(B24&lt;&gt;"Disti","Not Applicable",-I38/E38)</f>
        <v>#REF!</v>
      </c>
      <c r="J39" s="53"/>
      <c r="K39" s="54" t="e">
        <f>IF(B24&lt;&gt;"Disti","Not Applicable",-J38/E38)</f>
        <v>#REF!</v>
      </c>
      <c r="L39" s="40"/>
    </row>
    <row r="40" spans="1:13" ht="17.5" x14ac:dyDescent="0.35">
      <c r="A40" s="26" t="s">
        <v>399</v>
      </c>
      <c r="B40" s="27"/>
      <c r="C40" s="27"/>
      <c r="D40" s="27"/>
      <c r="E40" s="27"/>
      <c r="F40" s="27"/>
      <c r="G40" s="27"/>
      <c r="H40" s="27"/>
      <c r="I40" s="27"/>
      <c r="J40" s="27"/>
    </row>
    <row r="41" spans="1:13" ht="17.5" x14ac:dyDescent="0.35">
      <c r="A41" s="26" t="s">
        <v>400</v>
      </c>
      <c r="B41" s="27"/>
      <c r="C41" s="27"/>
      <c r="D41" s="27"/>
      <c r="E41" s="27"/>
      <c r="F41" s="27"/>
      <c r="G41" s="27"/>
      <c r="H41" s="27"/>
      <c r="I41" s="27"/>
      <c r="J41" s="27"/>
    </row>
    <row r="42" spans="1:13" ht="17.5" x14ac:dyDescent="0.35">
      <c r="A42" s="26" t="s">
        <v>681</v>
      </c>
      <c r="B42" s="27"/>
      <c r="C42" s="27"/>
      <c r="D42" s="27"/>
      <c r="E42" s="27"/>
      <c r="F42" s="27"/>
      <c r="G42" s="27"/>
      <c r="H42" s="27"/>
      <c r="I42" s="27"/>
      <c r="J42" s="27"/>
    </row>
    <row r="48" spans="1:13" x14ac:dyDescent="0.25">
      <c r="C48" s="11"/>
    </row>
  </sheetData>
  <sheetProtection algorithmName="SHA-512" hashValue="RJuqS0s3GvmcBlxAI05LujgnmN+rWX0wv97hTG/tghXZwMPOdtxlKnUXKVAV7x3BKoCxWQWjQQJJYP5xXJRtEQ==" saltValue="ptjTDiKlsdnXrdQ70zuhuA==" spinCount="100000" sheet="1" objects="1" scenarios="1"/>
  <mergeCells count="15">
    <mergeCell ref="A36:L36"/>
    <mergeCell ref="C26:D26"/>
    <mergeCell ref="C27:D27"/>
    <mergeCell ref="C28:D28"/>
    <mergeCell ref="C29:D29"/>
    <mergeCell ref="C30:D30"/>
    <mergeCell ref="C31:D31"/>
    <mergeCell ref="A32:L32"/>
    <mergeCell ref="C25:D25"/>
    <mergeCell ref="C24:D24"/>
    <mergeCell ref="A1:F1"/>
    <mergeCell ref="A3:B4"/>
    <mergeCell ref="C3:D4"/>
    <mergeCell ref="A22:D22"/>
    <mergeCell ref="C23:D23"/>
  </mergeCells>
  <dataValidations count="9">
    <dataValidation type="list" showErrorMessage="1" promptTitle="Support Type" prompt="(STD)Standard Support:  First year support 8X5 in US, UK or Hong Kong_x000a_(PRM) Premium Support:   7X24X365 access to support_x000a_" sqref="B28" xr:uid="{00000000-0002-0000-0E00-000000000000}">
      <formula1>"Yes,No"</formula1>
    </dataValidation>
    <dataValidation type="decimal" showErrorMessage="1" promptTitle="Years of Support" prompt="This will be used to calculate multi-year discount.  Multi-year requires minimum 3 years to be purchased.  Options are: 1, 3+" sqref="B31" xr:uid="{00000000-0002-0000-0E00-000001000000}">
      <formula1>0</formula1>
      <formula2>1</formula2>
    </dataValidation>
    <dataValidation type="decimal" errorStyle="warning" showErrorMessage="1" errorTitle="Duration Greater than 5 years" error="Multi-year support beyond 5 years requires special approval.  Please consult your Account Team" promptTitle="Years of Support" prompt="This will be used to calculate multi-year discount.  Multi-year requires minimum 3 years to be purchased.  Options are: 1, 3+" sqref="B30" xr:uid="{00000000-0002-0000-0E00-000002000000}">
      <formula1>1</formula1>
      <formula2>60</formula2>
    </dataValidation>
    <dataValidation type="list" showErrorMessage="1" promptTitle="Support Partner Level" prompt="This is for only if you are a member of the Gigamon Support Partner Program" sqref="B29" xr:uid="{00000000-0002-0000-0E00-000003000000}">
      <formula1>"Passthrough, Plus, Premier, Professional"</formula1>
    </dataValidation>
    <dataValidation type="list" showErrorMessage="1" promptTitle="Support Type" prompt="(STD)Standard Support:  First year support 8X5 in US, UK or Hong Kong_x000a_(PRM) Premium Support:   7X24X365 access to support_x000a_" sqref="B27" xr:uid="{00000000-0002-0000-0E00-000004000000}">
      <formula1>"Standard, Premium"</formula1>
    </dataValidation>
    <dataValidation type="list" showErrorMessage="1" promptTitle="Support Provider" prompt="This is to understand who is the primary Support provider for this opportunity.   Options are Gigamon, valure added reseller (VAR), or Distribution partner(Distribution)" sqref="B26" xr:uid="{00000000-0002-0000-0E00-000005000000}">
      <formula1>"GIGA, VAR, DISTI"</formula1>
    </dataValidation>
    <dataValidation type="list" showErrorMessage="1" promptTitle="Please enter your Geography" prompt="Options are: APAC, EMEA, Americas_x000a_" sqref="B24" xr:uid="{00000000-0002-0000-0E00-000006000000}">
      <formula1>"VAR, DISTI"</formula1>
    </dataValidation>
    <dataValidation type="list" showErrorMessage="1" promptTitle="Please enter your Geography" prompt="_x000a_" sqref="B23" xr:uid="{00000000-0002-0000-0E00-000007000000}">
      <formula1>"AMER, EMEA, APAC"</formula1>
    </dataValidation>
    <dataValidation type="list" showErrorMessage="1" promptTitle="Please enter your Geography" prompt="Options are: APAC, EMEA, Americas_x000a_" sqref="B25" xr:uid="{00000000-0002-0000-0E00-000008000000}">
      <formula1>"Registered, One Off,  Silver/Gold/Platinum"</formula1>
    </dataValidation>
  </dataValidations>
  <pageMargins left="0.7" right="0.7" top="0.75" bottom="0.75" header="0.3" footer="0.3"/>
  <pageSetup orientation="portrait" r:id="rId1"/>
  <headerFoot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9166E7719D8445A54E30765E5D378E" ma:contentTypeVersion="7" ma:contentTypeDescription="Create a new document." ma:contentTypeScope="" ma:versionID="a29037fefe4fe2784cd2d251dcd543a5">
  <xsd:schema xmlns:xsd="http://www.w3.org/2001/XMLSchema" xmlns:xs="http://www.w3.org/2001/XMLSchema" xmlns:p="http://schemas.microsoft.com/office/2006/metadata/properties" xmlns:ns2="5c617802-2fb5-4cda-a1c8-200ad2d6631e" xmlns:ns3="04646da7-9b91-4df4-9424-c514e11bad4b" targetNamespace="http://schemas.microsoft.com/office/2006/metadata/properties" ma:root="true" ma:fieldsID="024f4176008b47d1e3673414cbfc1d73" ns2:_="" ns3:_="">
    <xsd:import namespace="5c617802-2fb5-4cda-a1c8-200ad2d6631e"/>
    <xsd:import namespace="04646da7-9b91-4df4-9424-c514e11bad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17802-2fb5-4cda-a1c8-200ad2d663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646da7-9b91-4df4-9424-c514e11bad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8CBA2B-02EB-4B4A-9F5D-1A7FB5807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17802-2fb5-4cda-a1c8-200ad2d6631e"/>
    <ds:schemaRef ds:uri="04646da7-9b91-4df4-9424-c514e11ba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88E8DC-2BF7-4C7E-B351-0240B2ED0ACE}">
  <ds:schemaRefs>
    <ds:schemaRef ds:uri="http://schemas.microsoft.com/sharepoint/v3/contenttype/forms"/>
  </ds:schemaRefs>
</ds:datastoreItem>
</file>

<file path=customXml/itemProps3.xml><?xml version="1.0" encoding="utf-8"?>
<ds:datastoreItem xmlns:ds="http://schemas.openxmlformats.org/officeDocument/2006/customXml" ds:itemID="{E32210C4-6955-49CD-815A-D21B0C18938B}">
  <ds:schemaRefs>
    <ds:schemaRef ds:uri="http://purl.org/dc/elements/1.1/"/>
    <ds:schemaRef ds:uri="http://schemas.microsoft.com/office/2006/metadata/properties"/>
    <ds:schemaRef ds:uri="5c617802-2fb5-4cda-a1c8-200ad2d6631e"/>
    <ds:schemaRef ds:uri="http://purl.org/dc/terms/"/>
    <ds:schemaRef ds:uri="04646da7-9b91-4df4-9424-c514e11bad4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New Support Calculator</vt:lpstr>
      <vt:lpstr>Gigamon DIR Price List</vt:lpstr>
      <vt:lpstr>Support Calculator</vt:lpstr>
      <vt:lpstr>'New Support Calculator'!Print_Area</vt:lpstr>
      <vt:lpstr>'Support Calculator'!Print_Area</vt:lpstr>
      <vt:lpstr>'Gigamon DIR Price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2017-11-22T14:53:00Z</dcterms:created>
  <dcterms:modified xsi:type="dcterms:W3CDTF">2019-04-01T20:14:19Z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0x010100EC9166E7719D8445A54E30765E5D378E</vt:lpwstr>
  </property>
</Properties>
</file>